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msfintl.sharepoint.com/sites/ClimateSmartMSF/Shared Documents/Baselining/Environmental Impact Toolkit/3. Carbon Emissions Tool/"/>
    </mc:Choice>
  </mc:AlternateContent>
  <xr:revisionPtr revIDLastSave="967" documentId="8_{1B6D3A8C-56DC-4439-B44F-8B695D4608E1}" xr6:coauthVersionLast="47" xr6:coauthVersionMax="47" xr10:uidLastSave="{82052EED-A40C-4E25-AE4F-E94C3CA15B34}"/>
  <bookViews>
    <workbookView xWindow="-96" yWindow="0" windowWidth="11712" windowHeight="12336" xr2:uid="{4D9F23BC-EDFD-469F-B004-920D6267B8B2}"/>
  </bookViews>
  <sheets>
    <sheet name="Paper vs Digital" sheetId="1" r:id="rId1"/>
    <sheet name="Data Storage" sheetId="3" r:id="rId2"/>
    <sheet name="O365_IA" sheetId="5" r:id="rId3"/>
    <sheet name="Parameters" sheetId="2" r:id="rId4"/>
    <sheet name="Parameters 2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C31" i="5" l="1"/>
  <c r="C26" i="5"/>
  <c r="E29" i="5"/>
  <c r="C29" i="5"/>
  <c r="C22" i="5"/>
  <c r="E18" i="5"/>
  <c r="E15" i="5"/>
  <c r="C18" i="5"/>
  <c r="C15" i="5"/>
  <c r="E17" i="5"/>
  <c r="C17" i="5"/>
  <c r="E14" i="5"/>
  <c r="C14" i="5"/>
  <c r="I15" i="1" l="1"/>
  <c r="H15" i="1"/>
  <c r="B9" i="2" l="1"/>
  <c r="B15" i="2" s="1"/>
  <c r="E7" i="1"/>
  <c r="B37" i="3"/>
  <c r="B20" i="3"/>
  <c r="B23" i="3" s="1"/>
  <c r="B14" i="3"/>
  <c r="B17" i="3" s="1"/>
  <c r="B32" i="3"/>
  <c r="B34" i="3" s="1"/>
  <c r="B25" i="3" l="1"/>
  <c r="B39" i="3"/>
  <c r="B23" i="2"/>
  <c r="B24" i="2" l="1"/>
  <c r="L8" i="1" l="1"/>
  <c r="E9" i="1"/>
  <c r="N7" i="1"/>
  <c r="O7" i="1" s="1"/>
  <c r="G11" i="1"/>
  <c r="B20" i="2"/>
  <c r="G10" i="1"/>
  <c r="B16" i="2"/>
  <c r="G7" i="1" s="1"/>
  <c r="B8" i="2"/>
  <c r="C2" i="2"/>
  <c r="C3" i="2" s="1"/>
  <c r="B10" i="2" l="1"/>
  <c r="E11" i="1" s="1"/>
  <c r="G8" i="1"/>
  <c r="H8" i="1" s="1"/>
  <c r="C4" i="2"/>
  <c r="C5" i="2" s="1"/>
  <c r="G9" i="1" s="1"/>
  <c r="H9" i="1" s="1"/>
  <c r="H7" i="1"/>
  <c r="I9" i="1" l="1"/>
  <c r="I8" i="1"/>
  <c r="I7" i="1"/>
  <c r="H11" i="1"/>
  <c r="I11" i="1" s="1"/>
  <c r="A30" i="2"/>
  <c r="A29" i="2"/>
  <c r="A28" i="2"/>
  <c r="A27" i="2"/>
  <c r="N8" i="1"/>
  <c r="O8" i="1" s="1"/>
  <c r="O9" i="1" s="1"/>
  <c r="H16" i="1" l="1"/>
  <c r="I16" i="1"/>
  <c r="E10" i="1"/>
  <c r="H10" i="1" s="1"/>
  <c r="I10" i="1" s="1"/>
  <c r="I12" i="1" s="1"/>
  <c r="I13" i="1" s="1"/>
  <c r="I17" i="1" l="1"/>
  <c r="H12" i="1"/>
  <c r="H13" i="1" s="1"/>
  <c r="H17" i="1"/>
  <c r="K17" i="1" l="1"/>
  <c r="K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tc={6D359AE4-DF9B-4898-9DF3-F51C8AA90F5C}</author>
  </authors>
  <commentList>
    <comment ref="C9" authorId="0" shapeId="0" xr:uid="{6D359AE4-DF9B-4898-9DF3-F51C8AA90F5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Be careful on the double counting of the toner while considering the expenses in the EIT </t>
      </text>
    </comment>
  </commentList>
</comments>
</file>

<file path=xl/sharedStrings.xml><?xml version="1.0" encoding="utf-8"?>
<sst xmlns="http://schemas.openxmlformats.org/spreadsheetml/2006/main" count="398" uniqueCount="277">
  <si>
    <t>Number of pages:</t>
  </si>
  <si>
    <t>Hypotheses: Paper density</t>
  </si>
  <si>
    <t>g/m²</t>
  </si>
  <si>
    <t>Document type:</t>
  </si>
  <si>
    <t>Lettre N&amp;B</t>
  </si>
  <si>
    <t>Paper Mail - Life Cycle Analysis - (methodology developped with CAA)</t>
  </si>
  <si>
    <t>Email - Life Cycle Analysis - (methodology developped with CAA)</t>
  </si>
  <si>
    <t>Phase</t>
  </si>
  <si>
    <t>Element</t>
  </si>
  <si>
    <t>Nbr</t>
  </si>
  <si>
    <t>Unit</t>
  </si>
  <si>
    <t>FE</t>
  </si>
  <si>
    <t>gCO2e/mail send</t>
  </si>
  <si>
    <t>gCO2e/g of paper</t>
  </si>
  <si>
    <t>Nombre</t>
  </si>
  <si>
    <t>Unité</t>
  </si>
  <si>
    <t>gCO2e</t>
  </si>
  <si>
    <t>Paper fabrication</t>
  </si>
  <si>
    <t>Documents</t>
  </si>
  <si>
    <t>sheet</t>
  </si>
  <si>
    <t>Email</t>
  </si>
  <si>
    <t>mail</t>
  </si>
  <si>
    <t>Envelop</t>
  </si>
  <si>
    <t>Attached file weight</t>
  </si>
  <si>
    <t>ko</t>
  </si>
  <si>
    <t>Paper printing</t>
  </si>
  <si>
    <t>pages</t>
  </si>
  <si>
    <t>Post service</t>
  </si>
  <si>
    <t>Price</t>
  </si>
  <si>
    <t>€</t>
  </si>
  <si>
    <t xml:space="preserve">End of life </t>
  </si>
  <si>
    <t>Papers</t>
  </si>
  <si>
    <t>g</t>
  </si>
  <si>
    <t>Note : The attached file wight will depend on the number of sheets entered in cell D1.</t>
  </si>
  <si>
    <t>Total</t>
  </si>
  <si>
    <t>Paper + Printing</t>
  </si>
  <si>
    <t>Post Only</t>
  </si>
  <si>
    <t xml:space="preserve">This tool will give you a good trend about the difference you could find between sending by paper rather than sending by email. </t>
  </si>
  <si>
    <t xml:space="preserve">Data storage estimation </t>
  </si>
  <si>
    <t xml:space="preserve">We start from the average electric consumption of a GO per year, and then we associate this to the electricity impact, depending on the storage location. Indeed, within MSF, servers can be located sometimes in very carboned electricity areas. </t>
  </si>
  <si>
    <t xml:space="preserve">LIMITS </t>
  </si>
  <si>
    <t xml:space="preserve">Nevertheless with this approach, we assume that we miss the harware part of the estimation + the energy used to access the storage (but we do assume that it's taken into account into the global electricity use of your entities) </t>
  </si>
  <si>
    <t xml:space="preserve">According to the following source </t>
  </si>
  <si>
    <t>https://www.cloudcarbonfootprint.org/docs/methodology#storage</t>
  </si>
  <si>
    <t>we estimate 1,2 W/TBh for cloud storage : It means that to store 1 Terra Octet during 1 hour consumes 1,2 W --&gt;  10,5 Wh/Go per year</t>
  </si>
  <si>
    <t>Object</t>
  </si>
  <si>
    <t>Value</t>
  </si>
  <si>
    <t>Size</t>
  </si>
  <si>
    <t>Go</t>
  </si>
  <si>
    <t>Inputs</t>
  </si>
  <si>
    <t>Time</t>
  </si>
  <si>
    <t>year</t>
  </si>
  <si>
    <t>Parameters</t>
  </si>
  <si>
    <t>Go.year</t>
  </si>
  <si>
    <t>Results</t>
  </si>
  <si>
    <t>Storage Consumption</t>
  </si>
  <si>
    <t>Wh/Go.year</t>
  </si>
  <si>
    <t>Storage Impact</t>
  </si>
  <si>
    <t>Wh</t>
  </si>
  <si>
    <t>Number of access</t>
  </si>
  <si>
    <t>#/year</t>
  </si>
  <si>
    <t>Gb transmitted</t>
  </si>
  <si>
    <t>Gb</t>
  </si>
  <si>
    <t>Transmission Consumption</t>
  </si>
  <si>
    <t>Wh/Gb</t>
  </si>
  <si>
    <t>Transmission Impact</t>
  </si>
  <si>
    <t>Total Impact</t>
  </si>
  <si>
    <t>Country of storage location</t>
  </si>
  <si>
    <t>United States</t>
  </si>
  <si>
    <t xml:space="preserve">Carbon intensity in this country </t>
  </si>
  <si>
    <t>kgco2 per kwh</t>
  </si>
  <si>
    <t xml:space="preserve">KG of Co2 related to storage </t>
  </si>
  <si>
    <t>Country of data access</t>
  </si>
  <si>
    <t>KG of Co2 related to access</t>
  </si>
  <si>
    <t xml:space="preserve">For estimation of Office 365 use, please feel free to visit this page : </t>
  </si>
  <si>
    <t>Emissions Impact Dashboard for Microsoft 365 - Power BI</t>
  </si>
  <si>
    <t xml:space="preserve">For estimation of IA </t>
  </si>
  <si>
    <t>social - How much energy consumption is involved in Chat GPT responses being generated? - Artificial Intelligence Stack Exchange</t>
  </si>
  <si>
    <t>ChatGPT consumes 25 times more energy than Google (brusselstimes.com)</t>
  </si>
  <si>
    <t>https://www.technologyreview.com/2024/05/23/1092777/ai-is-an-energy-hog-this-is-what-it-means-for-climate-change/</t>
  </si>
  <si>
    <t xml:space="preserve">Quick comparison </t>
  </si>
  <si>
    <t>Consumed in France</t>
  </si>
  <si>
    <t xml:space="preserve">Consumed in Niger </t>
  </si>
  <si>
    <t xml:space="preserve">one request with IA : </t>
  </si>
  <si>
    <t xml:space="preserve">Wh </t>
  </si>
  <si>
    <t>kg co2</t>
  </si>
  <si>
    <t>gco2</t>
  </si>
  <si>
    <t>One request on Google</t>
  </si>
  <si>
    <t>One ton shipped from Paris to Niamey (niger)</t>
  </si>
  <si>
    <t>kgco2.t.km</t>
  </si>
  <si>
    <t>t.km</t>
  </si>
  <si>
    <t>kgco2</t>
  </si>
  <si>
    <t xml:space="preserve">One month of O365 usage in msf </t>
  </si>
  <si>
    <t>mtCo2</t>
  </si>
  <si>
    <t>tons on co2</t>
  </si>
  <si>
    <t xml:space="preserve">Equivalent of shipments in IA shearchs in </t>
  </si>
  <si>
    <t xml:space="preserve">France </t>
  </si>
  <si>
    <t>Niger</t>
  </si>
  <si>
    <t>Equivalent of monthly usage of o365 in shipments</t>
  </si>
  <si>
    <t>Type</t>
  </si>
  <si>
    <t>ko/page</t>
  </si>
  <si>
    <t>FE encre/page (gCO2e/page)</t>
  </si>
  <si>
    <t>Source FE</t>
  </si>
  <si>
    <t>Cartouche toner Noir et Blanc re-conditionnée ADEME</t>
  </si>
  <si>
    <t>Lettre Couleur</t>
  </si>
  <si>
    <t xml:space="preserve">Cartouche toner couleur (CMY) re-conditionnée ADEME + Cartouche toner Noir et Blanc re-conditionnée ADEME </t>
  </si>
  <si>
    <t>Lettre Couleur + Image</t>
  </si>
  <si>
    <t>Catalogue/Rapport</t>
  </si>
  <si>
    <t>Parametre</t>
  </si>
  <si>
    <t>valeur</t>
  </si>
  <si>
    <t>unité</t>
  </si>
  <si>
    <t>Hypothèse</t>
  </si>
  <si>
    <t>Surface Papier A4</t>
  </si>
  <si>
    <t>m²</t>
  </si>
  <si>
    <t>0,21*0,297</t>
  </si>
  <si>
    <t>Densité papier A4</t>
  </si>
  <si>
    <t>Google</t>
  </si>
  <si>
    <t>Poids feuille</t>
  </si>
  <si>
    <t>Surfce / poids au m²</t>
  </si>
  <si>
    <t>Feuille/ramette</t>
  </si>
  <si>
    <t>unités</t>
  </si>
  <si>
    <t>Average weight of an attached file</t>
  </si>
  <si>
    <t>Climat Smart + CAA</t>
  </si>
  <si>
    <t>source</t>
  </si>
  <si>
    <t>Ramette de papier blanc/80g/m² A4/Hors utilisation et fin de vie</t>
  </si>
  <si>
    <t>kgCO2e/unité</t>
  </si>
  <si>
    <t>ADEME</t>
  </si>
  <si>
    <t>FE Feuille</t>
  </si>
  <si>
    <t>gCO2e/feuille</t>
  </si>
  <si>
    <t>FE ramette / nb feuille dans ramette</t>
  </si>
  <si>
    <t>Service/Courrier</t>
  </si>
  <si>
    <t>kgCO2e/k€ // gCO2e/€</t>
  </si>
  <si>
    <t>Carton/Fin de vie moyenne filière - Impacts</t>
  </si>
  <si>
    <t>kgCO2e/tonnes</t>
  </si>
  <si>
    <t>Letter deliver</t>
  </si>
  <si>
    <t>gCO2e/letter</t>
  </si>
  <si>
    <t>https://www.pb.com/docs/US/pdf/Our-Company/Corporate-Responsibility/The-Environmental-Impact-of-Mail-A-Baseline-White-Paper.pdf</t>
  </si>
  <si>
    <t>Upstream paper</t>
  </si>
  <si>
    <t>gCO2e/g of papper</t>
  </si>
  <si>
    <t>Mail FE</t>
  </si>
  <si>
    <t>gCO2e/mail</t>
  </si>
  <si>
    <t>https://librairie.ademe.fr/cadic/3541/ademe-ges-tic-0212.pdf</t>
  </si>
  <si>
    <t>Mail with attached file FE</t>
  </si>
  <si>
    <t>Attached file without mail</t>
  </si>
  <si>
    <t>gCO2e/attached file</t>
  </si>
  <si>
    <t>Mail with attached - mail without attachement</t>
  </si>
  <si>
    <t>1 kO of attached file</t>
  </si>
  <si>
    <t>gCO2e/kO</t>
  </si>
  <si>
    <t>Nombre de feuille</t>
  </si>
  <si>
    <t>Prix</t>
  </si>
  <si>
    <t>Poids</t>
  </si>
  <si>
    <t>https://www.deutschepost.de/en/b/brief_postkarte.html</t>
  </si>
  <si>
    <t>&lt;20g</t>
  </si>
  <si>
    <t>&lt;50g</t>
  </si>
  <si>
    <t>&lt;500g</t>
  </si>
  <si>
    <t>&lt;1000g</t>
  </si>
  <si>
    <t xml:space="preserve">Note : </t>
  </si>
  <si>
    <t xml:space="preserve">This approach has been developped in collaboration with the Climate Action Accelerator, according to a Life Cycle Analysis point of view. </t>
  </si>
  <si>
    <t xml:space="preserve">Many approach can be considered to estimate paper use versus digitalization, and each one face its own limit(s). </t>
  </si>
  <si>
    <t xml:space="preserve">The delivery part can variate a lot, according to the scope considered, and the hypothesis taken into account. </t>
  </si>
  <si>
    <t xml:space="preserve">Moreover, the size of the attached piece can not be illimited in one mail, and nowadays the emission factor considers just an average size. </t>
  </si>
  <si>
    <t>Entity</t>
  </si>
  <si>
    <t>Year</t>
  </si>
  <si>
    <t>Carbon intensity of electricity (kgCO2/kWh)</t>
  </si>
  <si>
    <t>United Arab Emirates</t>
  </si>
  <si>
    <t>EcoAct - 2019</t>
  </si>
  <si>
    <t>Afghanistan</t>
  </si>
  <si>
    <t>EcoAct (IN) - 2019</t>
  </si>
  <si>
    <t>Armenia</t>
  </si>
  <si>
    <t>Angola</t>
  </si>
  <si>
    <t>Azerbaijan</t>
  </si>
  <si>
    <t>Bangladesh</t>
  </si>
  <si>
    <t>Belgium</t>
  </si>
  <si>
    <t>Burkina Faso</t>
  </si>
  <si>
    <t>EcoAct (NE) - 2019</t>
  </si>
  <si>
    <t>Burundi</t>
  </si>
  <si>
    <t>EcoAct (ZA) - 2019</t>
  </si>
  <si>
    <t>Benin</t>
  </si>
  <si>
    <t>Brazil</t>
  </si>
  <si>
    <t>Belarus</t>
  </si>
  <si>
    <t>Democratic Republic of the Congo</t>
  </si>
  <si>
    <t>Central African Republic</t>
  </si>
  <si>
    <t>Switzerland</t>
  </si>
  <si>
    <t>Ivory Coast</t>
  </si>
  <si>
    <t>Cameroon</t>
  </si>
  <si>
    <t>Colombia</t>
  </si>
  <si>
    <t>Egypt</t>
  </si>
  <si>
    <t>Eritrea</t>
  </si>
  <si>
    <t>Spain</t>
  </si>
  <si>
    <t>Ethiopia</t>
  </si>
  <si>
    <t>France</t>
  </si>
  <si>
    <t>Georgia</t>
  </si>
  <si>
    <t>Guinea</t>
  </si>
  <si>
    <t>Greece</t>
  </si>
  <si>
    <t>Guatemala</t>
  </si>
  <si>
    <t>Honduras</t>
  </si>
  <si>
    <t>Haiti</t>
  </si>
  <si>
    <t>Hungary</t>
  </si>
  <si>
    <t>Indonesia</t>
  </si>
  <si>
    <t>India</t>
  </si>
  <si>
    <t>Iraq</t>
  </si>
  <si>
    <t>Iran</t>
  </si>
  <si>
    <t>EcoAct (IQ) - 2019</t>
  </si>
  <si>
    <t>Italy</t>
  </si>
  <si>
    <t>Jordan</t>
  </si>
  <si>
    <t>Japan</t>
  </si>
  <si>
    <t>Kenya</t>
  </si>
  <si>
    <t>Kyrgyzstan</t>
  </si>
  <si>
    <t>Kiribati</t>
  </si>
  <si>
    <t>EcoAct (ID) - 2019</t>
  </si>
  <si>
    <t>Democratic People's Republic of Korea</t>
  </si>
  <si>
    <t>Kazakhstan</t>
  </si>
  <si>
    <t>Lebanon</t>
  </si>
  <si>
    <t>Sri Lanka</t>
  </si>
  <si>
    <t>Liberia</t>
  </si>
  <si>
    <t>Lesotho</t>
  </si>
  <si>
    <t>Lithuania</t>
  </si>
  <si>
    <t>Latvia</t>
  </si>
  <si>
    <t>Libya</t>
  </si>
  <si>
    <t>Madagascar</t>
  </si>
  <si>
    <t>Mali</t>
  </si>
  <si>
    <t>Myanmar</t>
  </si>
  <si>
    <t>Malawi</t>
  </si>
  <si>
    <t>Mexico</t>
  </si>
  <si>
    <t>Malaysia</t>
  </si>
  <si>
    <t>Mozambique</t>
  </si>
  <si>
    <t>Nigeria</t>
  </si>
  <si>
    <t>The Netherlands</t>
  </si>
  <si>
    <t>EcoAct (PL) - 2019</t>
  </si>
  <si>
    <t>Panama</t>
  </si>
  <si>
    <t>Peru</t>
  </si>
  <si>
    <t>Papua New Guinea</t>
  </si>
  <si>
    <t>Philippines</t>
  </si>
  <si>
    <t>Pakistan</t>
  </si>
  <si>
    <t>Poland</t>
  </si>
  <si>
    <t>Palestine</t>
  </si>
  <si>
    <t>Serbia</t>
  </si>
  <si>
    <t>Russia</t>
  </si>
  <si>
    <t>Sudan</t>
  </si>
  <si>
    <t>Sierra Leone</t>
  </si>
  <si>
    <t>Senegal</t>
  </si>
  <si>
    <t>Somalia</t>
  </si>
  <si>
    <t>South Sudan</t>
  </si>
  <si>
    <t>El Salvador</t>
  </si>
  <si>
    <t>Syria</t>
  </si>
  <si>
    <t>Eswatini</t>
  </si>
  <si>
    <t>Chad</t>
  </si>
  <si>
    <t>Thailand</t>
  </si>
  <si>
    <t>Tajikistan</t>
  </si>
  <si>
    <t>Tunisia</t>
  </si>
  <si>
    <t>Turkey</t>
  </si>
  <si>
    <t>Tanzania</t>
  </si>
  <si>
    <t>Ukraine</t>
  </si>
  <si>
    <t>Uganda</t>
  </si>
  <si>
    <t>Our World in Data - 2021 (Scope 2)</t>
  </si>
  <si>
    <t>Uzbekistan</t>
  </si>
  <si>
    <t>Venezuela</t>
  </si>
  <si>
    <t>EcoAct (HT) - 2019</t>
  </si>
  <si>
    <t>Vietnam</t>
  </si>
  <si>
    <t>Yemen</t>
  </si>
  <si>
    <t>South Africa</t>
  </si>
  <si>
    <t>Zimbabwe</t>
  </si>
  <si>
    <t>Sweden</t>
  </si>
  <si>
    <t>Hong Kong</t>
  </si>
  <si>
    <t>Germany</t>
  </si>
  <si>
    <t>Australia</t>
  </si>
  <si>
    <t>Austria</t>
  </si>
  <si>
    <t>Canada</t>
  </si>
  <si>
    <t>Czech Republic</t>
  </si>
  <si>
    <t>Finland</t>
  </si>
  <si>
    <t>Republic of Ireland</t>
  </si>
  <si>
    <t>Luxembourg</t>
  </si>
  <si>
    <t>Norway</t>
  </si>
  <si>
    <t>United Kingdom</t>
  </si>
  <si>
    <t>Uruguay</t>
  </si>
  <si>
    <t>Denmark</t>
  </si>
  <si>
    <t>Source : Energy prices Climate Smart Sharepoint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</si>
</sst>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000"/>
    <numFmt numFmtId="166" formatCode="_-* #,##0_-;\-* #,##0_-;_-* &quot;-&quot;??_-;_-@_-"/>
    <numFmt numFmtId="167" formatCode="0.000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Segoe U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sz val="12"/>
      <color rgb="FF000000"/>
      <name val="Calibri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rgb="FFC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2" fontId="0" fillId="0" borderId="1" xfId="0" applyNumberFormat="1" applyBorder="1"/>
    <xf numFmtId="0" fontId="0" fillId="0" borderId="1" xfId="0" applyBorder="1" applyAlignment="1">
      <alignment vertical="center"/>
    </xf>
    <xf numFmtId="0" fontId="2" fillId="0" borderId="1" xfId="1" applyBorder="1"/>
    <xf numFmtId="2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0" fontId="2" fillId="0" borderId="1" xfId="1" quotePrefix="1" applyBorder="1"/>
    <xf numFmtId="0" fontId="3" fillId="0" borderId="0" xfId="0" applyFont="1" applyAlignment="1">
      <alignment vertic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0" fontId="2" fillId="0" borderId="0" xfId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0" fillId="4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9" fontId="10" fillId="0" borderId="0" xfId="2" applyFont="1"/>
    <xf numFmtId="3" fontId="0" fillId="0" borderId="0" xfId="0" applyNumberFormat="1"/>
    <xf numFmtId="0" fontId="11" fillId="0" borderId="0" xfId="0" applyFont="1"/>
    <xf numFmtId="0" fontId="0" fillId="5" borderId="1" xfId="0" applyFill="1" applyBorder="1"/>
    <xf numFmtId="166" fontId="0" fillId="0" borderId="0" xfId="3" applyNumberFormat="1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/>
    <xf numFmtId="167" fontId="1" fillId="2" borderId="1" xfId="0" applyNumberFormat="1" applyFont="1" applyFill="1" applyBorder="1" applyAlignment="1">
      <alignment horizontal="right"/>
    </xf>
  </cellXfs>
  <cellStyles count="4">
    <cellStyle name="Lien hypertexte" xfId="1" builtinId="8"/>
    <cellStyle name="Milliers" xfId="3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'Paper vs Digital'!$G$16</c:f>
              <c:strCache>
                <c:ptCount val="1"/>
                <c:pt idx="0">
                  <c:v>Paper + Printing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89090929914712647"/>
                      <c:h val="0.409880046562517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44C-4C71-8645-39D6E61189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'Paper vs Digital'!$K$16</c:f>
              <c:numCache>
                <c:formatCode>0%</c:formatCode>
                <c:ptCount val="1"/>
                <c:pt idx="0">
                  <c:v>0.99986264658955615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C-4C71-8645-39D6E611895E}"/>
            </c:ext>
          </c:extLst>
        </c:ser>
        <c:ser>
          <c:idx val="1"/>
          <c:order val="1"/>
          <c:tx>
            <c:strRef>
              <c:f>'Paper vs Digital'!$G$17</c:f>
              <c:strCache>
                <c:ptCount val="1"/>
                <c:pt idx="0">
                  <c:v>Post Only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89090929914712647"/>
                      <c:h val="0.270292414606241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44C-4C71-8645-39D6E61189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'Paper vs Digital'!$K$17</c:f>
              <c:numCache>
                <c:formatCode>0%</c:formatCode>
                <c:ptCount val="1"/>
                <c:pt idx="0">
                  <c:v>1.3735341044383655E-4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C-4C71-8645-39D6E6118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86713520"/>
        <c:axId val="1986714000"/>
      </c:barChart>
      <c:catAx>
        <c:axId val="1986713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6714000"/>
        <c:crosses val="autoZero"/>
        <c:auto val="1"/>
        <c:lblAlgn val="ctr"/>
        <c:lblOffset val="100"/>
        <c:noMultiLvlLbl val="0"/>
      </c:catAx>
      <c:valAx>
        <c:axId val="1986714000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9867135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 b="1">
          <a:solidFill>
            <a:schemeClr val="bg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'Data Storage'!$A$17</c:f>
              <c:strCache>
                <c:ptCount val="1"/>
                <c:pt idx="0">
                  <c:v>Storage Impact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EB-431F-95AA-30FF7D1502F2}"/>
                </c:ext>
              </c:extLst>
            </c:dLbl>
            <c:numFmt formatCode="0.00\ &quot; Wh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'Data Storage'!$B$17</c:f>
              <c:numCache>
                <c:formatCode>General</c:formatCode>
                <c:ptCount val="1"/>
                <c:pt idx="0">
                  <c:v>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B-431F-95AA-30FF7D1502F2}"/>
            </c:ext>
          </c:extLst>
        </c:ser>
        <c:ser>
          <c:idx val="1"/>
          <c:order val="1"/>
          <c:tx>
            <c:strRef>
              <c:f>'Data Storage'!$A$23</c:f>
              <c:strCache>
                <c:ptCount val="1"/>
                <c:pt idx="0">
                  <c:v>Transmission Impact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EB-431F-95AA-30FF7D1502F2}"/>
                </c:ext>
              </c:extLst>
            </c:dLbl>
            <c:numFmt formatCode="0.00\ &quot; Wh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'Data Storage'!$B$23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B-431F-95AA-30FF7D15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62756303"/>
        <c:axId val="462753423"/>
      </c:barChart>
      <c:catAx>
        <c:axId val="4627563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2753423"/>
        <c:crosses val="autoZero"/>
        <c:auto val="1"/>
        <c:lblAlgn val="ctr"/>
        <c:lblOffset val="100"/>
        <c:noMultiLvlLbl val="0"/>
      </c:catAx>
      <c:valAx>
        <c:axId val="462753423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462756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 b="1">
          <a:solidFill>
            <a:schemeClr val="tx1">
              <a:lumMod val="95000"/>
              <a:lumOff val="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H$1" horiz="1" inc="10" max="250" min="20" page="10" val="8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693420</xdr:colOff>
          <xdr:row>1</xdr:row>
          <xdr:rowOff>30480</xdr:rowOff>
        </xdr:from>
        <xdr:to>
          <xdr:col>8</xdr:col>
          <xdr:colOff>403860</xdr:colOff>
          <xdr:row>2</xdr:row>
          <xdr:rowOff>144780</xdr:rowOff>
        </xdr:to>
        <xdr:sp macro="" textlink="">
          <xdr:nvSpPr>
            <xdr:cNvPr id="1039" name="Scroll Ba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68037</xdr:colOff>
      <xdr:row>12</xdr:row>
      <xdr:rowOff>80963</xdr:rowOff>
    </xdr:from>
    <xdr:to>
      <xdr:col>5</xdr:col>
      <xdr:colOff>591913</xdr:colOff>
      <xdr:row>17</xdr:row>
      <xdr:rowOff>163286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25</xdr:row>
      <xdr:rowOff>184785</xdr:rowOff>
    </xdr:from>
    <xdr:to>
      <xdr:col>3</xdr:col>
      <xdr:colOff>470535</xdr:colOff>
      <xdr:row>29</xdr:row>
      <xdr:rowOff>89535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elle CHARRIER" id="{2F0D71C4-12FA-4390-8104-078CE447CCB9}" userId="S::Maelle.CHARRIER@geneva.msf.org::bc886220-c320-4465-ac37-86259b92168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" dT="2024-03-20T14:13:59.45" personId="{2F0D71C4-12FA-4390-8104-078CE447CCB9}" id="{6D359AE4-DF9B-4898-9DF3-F51C8AA90F5C}">
    <text xml:space="preserve">Be careful on the double counting of the toner while considering the expenses in the EIT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oudcarbonfootprint.org/docs/methodolog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russelstimes.com/1042696/chatgpt-consumes-25-times-more-energy-than-google" TargetMode="External"/><Relationship Id="rId2" Type="http://schemas.openxmlformats.org/officeDocument/2006/relationships/hyperlink" Target="https://ai.stackexchange.com/questions/38970/how-much-energy-consumption-is-involved-in-chat-gpt-responses-being-generated" TargetMode="External"/><Relationship Id="rId1" Type="http://schemas.openxmlformats.org/officeDocument/2006/relationships/hyperlink" Target="https://app.powerbi.com/groups/me/reports/1c951402-6fe8-4466-87a2-1e1924002924/ReportSection8c838725056c87b1e4a2?ctid=4d9dd1af-83ce-4e9b-b090-b0543ccc2b31&amp;experience=power-bi" TargetMode="External"/><Relationship Id="rId4" Type="http://schemas.openxmlformats.org/officeDocument/2006/relationships/hyperlink" Target="https://www.technologyreview.com/2024/05/23/1092777/ai-is-an-energy-hog-this-is-what-it-means-for-climate-chang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irie.ademe.fr/cadic/3541/ademe-ges-tic-0212.pdf" TargetMode="External"/><Relationship Id="rId2" Type="http://schemas.openxmlformats.org/officeDocument/2006/relationships/hyperlink" Target="https://www.pb.com/docs/US/pdf/Our-Company/Corporate-Responsibility/The-Environmental-Impact-of-Mail-A-Baseline-White-Paper.pdf" TargetMode="External"/><Relationship Id="rId1" Type="http://schemas.openxmlformats.org/officeDocument/2006/relationships/hyperlink" Target="https://www.pb.com/docs/US/pdf/Our-Company/Corporate-Responsibility/The-Environmental-Impact-of-Mail-A-Baseline-White-Paper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librairie.ademe.fr/cadic/3541/ademe-ges-tic-02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0115F-F2DA-4249-8CA6-595D15CC9178}">
  <dimension ref="C1:O19"/>
  <sheetViews>
    <sheetView showGridLines="0" tabSelected="1" topLeftCell="C1" zoomScale="85" zoomScaleNormal="85" workbookViewId="0">
      <selection activeCell="D1" sqref="D1"/>
    </sheetView>
  </sheetViews>
  <sheetFormatPr baseColWidth="10" defaultColWidth="11.44140625" defaultRowHeight="14.4"/>
  <cols>
    <col min="1" max="2" width="0" hidden="1" customWidth="1"/>
    <col min="3" max="3" width="24.109375" customWidth="1"/>
    <col min="8" max="8" width="16.44140625" bestFit="1" customWidth="1"/>
    <col min="9" max="9" width="16.44140625" customWidth="1"/>
    <col min="10" max="10" width="7" customWidth="1"/>
    <col min="11" max="11" width="18.109375" customWidth="1"/>
  </cols>
  <sheetData>
    <row r="1" spans="3:15">
      <c r="C1" s="4" t="s">
        <v>0</v>
      </c>
      <c r="D1" s="17">
        <f>410*500*2</f>
        <v>410000</v>
      </c>
      <c r="F1" s="5"/>
      <c r="G1" s="5" t="s">
        <v>1</v>
      </c>
      <c r="H1">
        <v>80</v>
      </c>
      <c r="I1" t="s">
        <v>2</v>
      </c>
      <c r="M1" s="5"/>
    </row>
    <row r="2" spans="3:15">
      <c r="C2" s="4" t="s">
        <v>3</v>
      </c>
      <c r="D2" s="3" t="s">
        <v>4</v>
      </c>
    </row>
    <row r="5" spans="3:15">
      <c r="C5" s="53" t="s">
        <v>5</v>
      </c>
      <c r="D5" s="53"/>
      <c r="E5" s="53"/>
      <c r="F5" s="53"/>
      <c r="G5" s="53"/>
      <c r="H5" s="53"/>
      <c r="I5" s="44"/>
      <c r="K5" s="53" t="s">
        <v>6</v>
      </c>
      <c r="L5" s="53"/>
      <c r="M5" s="53"/>
      <c r="N5" s="53"/>
      <c r="O5" s="53"/>
    </row>
    <row r="6" spans="3:15"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1" t="s">
        <v>13</v>
      </c>
      <c r="K6" s="1" t="s">
        <v>8</v>
      </c>
      <c r="L6" s="1" t="s">
        <v>14</v>
      </c>
      <c r="M6" s="1" t="s">
        <v>15</v>
      </c>
      <c r="N6" s="1" t="s">
        <v>11</v>
      </c>
      <c r="O6" s="1" t="s">
        <v>16</v>
      </c>
    </row>
    <row r="7" spans="3:15">
      <c r="C7" s="56" t="s">
        <v>17</v>
      </c>
      <c r="D7" s="2" t="s">
        <v>18</v>
      </c>
      <c r="E7" s="2">
        <f>ROUNDUP(D1/2,0)</f>
        <v>205000</v>
      </c>
      <c r="F7" s="2" t="s">
        <v>19</v>
      </c>
      <c r="G7" s="2">
        <f>Parameters!B16</f>
        <v>4.58</v>
      </c>
      <c r="H7" s="2">
        <f>G7*E7</f>
        <v>938900</v>
      </c>
      <c r="I7" s="57">
        <f>H7/($E$7*Parameters!$B$10)</f>
        <v>0.91790925124258471</v>
      </c>
      <c r="K7" s="7" t="s">
        <v>20</v>
      </c>
      <c r="L7" s="18">
        <v>1</v>
      </c>
      <c r="M7" s="7" t="s">
        <v>21</v>
      </c>
      <c r="N7" s="7">
        <f>Parameters!B21</f>
        <v>4</v>
      </c>
      <c r="O7" s="9">
        <f>L7*N7</f>
        <v>4</v>
      </c>
    </row>
    <row r="8" spans="3:15">
      <c r="C8" s="56"/>
      <c r="D8" s="2" t="s">
        <v>22</v>
      </c>
      <c r="E8" s="2">
        <v>1</v>
      </c>
      <c r="F8" s="2" t="s">
        <v>19</v>
      </c>
      <c r="G8" s="2">
        <f>Parameters!B16</f>
        <v>4.58</v>
      </c>
      <c r="H8" s="2">
        <f>G8*E8</f>
        <v>4.58</v>
      </c>
      <c r="I8" s="6">
        <f>H8/($E$7*Parameters!$B$10)</f>
        <v>4.4776061036223642E-6</v>
      </c>
      <c r="K8" s="7" t="s">
        <v>23</v>
      </c>
      <c r="L8" s="7">
        <f ca="1">D1*SUMIF(Parameters!A2:A6,'Paper vs Digital'!D2,Parameters!B2:B5)</f>
        <v>8200000</v>
      </c>
      <c r="M8" s="7" t="s">
        <v>24</v>
      </c>
      <c r="N8" s="7">
        <f>Parameters!B24</f>
        <v>3.02734375E-2</v>
      </c>
      <c r="O8" s="9">
        <f ca="1">N8*L8</f>
        <v>248242.1875</v>
      </c>
    </row>
    <row r="9" spans="3:15">
      <c r="C9" s="1" t="s">
        <v>25</v>
      </c>
      <c r="D9" s="2" t="s">
        <v>18</v>
      </c>
      <c r="E9" s="2">
        <f>D1</f>
        <v>410000</v>
      </c>
      <c r="F9" s="2" t="s">
        <v>26</v>
      </c>
      <c r="G9" s="2">
        <f>SUMIF(Parameters!A2:A5,'Paper vs Digital'!D2,Parameters!C2:C5)</f>
        <v>2.2999999999999998</v>
      </c>
      <c r="H9" s="2">
        <f>G9*E9</f>
        <v>942999.99999999988</v>
      </c>
      <c r="I9" s="57">
        <f>H9/($E$7*Parameters!$B$10)</f>
        <v>0.92191758858425521</v>
      </c>
      <c r="K9" s="54"/>
      <c r="L9" s="54"/>
      <c r="M9" s="54"/>
      <c r="N9" s="54"/>
      <c r="O9" s="10">
        <f ca="1">SUM(O7:O8)</f>
        <v>248246.1875</v>
      </c>
    </row>
    <row r="10" spans="3:15">
      <c r="C10" s="1" t="s">
        <v>27</v>
      </c>
      <c r="D10" s="2" t="s">
        <v>28</v>
      </c>
      <c r="E10" s="2">
        <f>IF(E7&lt;=Parameters!A27,Parameters!B27,IF(E7&lt;=Parameters!A28,Parameters!B28,IF(E7&lt;=Parameters!A29,Parameters!B29,Parameters!B30)))</f>
        <v>2.75</v>
      </c>
      <c r="F10" s="2" t="s">
        <v>29</v>
      </c>
      <c r="G10" s="2">
        <f>Parameters!B17</f>
        <v>130</v>
      </c>
      <c r="H10" s="2">
        <f>G10*E10</f>
        <v>357.5</v>
      </c>
      <c r="I10" s="6">
        <f>H10/($E$7*Parameters!$B$10)</f>
        <v>3.495074633286016E-4</v>
      </c>
    </row>
    <row r="11" spans="3:15">
      <c r="C11" s="1" t="s">
        <v>30</v>
      </c>
      <c r="D11" s="2" t="s">
        <v>31</v>
      </c>
      <c r="E11" s="14">
        <f>(E7+E8)*Parameters!B10</f>
        <v>1022872.9895999999</v>
      </c>
      <c r="F11" s="2" t="s">
        <v>32</v>
      </c>
      <c r="G11" s="2">
        <f>Parameters!B18/1000</f>
        <v>0.73699999999999999</v>
      </c>
      <c r="H11" s="6">
        <f>G11*E11</f>
        <v>753857.39333519991</v>
      </c>
      <c r="I11" s="57">
        <f>H11/($E$7*Parameters!$B$10)</f>
        <v>0.73700359512195124</v>
      </c>
      <c r="K11" t="s">
        <v>33</v>
      </c>
    </row>
    <row r="12" spans="3:15">
      <c r="C12" s="54" t="s">
        <v>34</v>
      </c>
      <c r="D12" s="54"/>
      <c r="E12" s="54"/>
      <c r="F12" s="54"/>
      <c r="G12" s="54"/>
      <c r="H12" s="11">
        <f>SUM(H7:H11)</f>
        <v>2636119.4733352</v>
      </c>
      <c r="I12" s="58">
        <f>SUM(I7:I11)</f>
        <v>2.5771844200182237</v>
      </c>
      <c r="K12" s="55"/>
      <c r="L12" s="55"/>
      <c r="M12" s="55"/>
      <c r="N12" s="55"/>
      <c r="O12" s="55"/>
    </row>
    <row r="13" spans="3:15">
      <c r="H13" s="43">
        <f>H12-H10</f>
        <v>2635761.9733352</v>
      </c>
      <c r="I13" s="43">
        <f>I12-I10</f>
        <v>2.5768349125548951</v>
      </c>
    </row>
    <row r="15" spans="3:15">
      <c r="C15" s="20"/>
      <c r="H15" s="47" t="str">
        <f>H6</f>
        <v>gCO2e/mail send</v>
      </c>
      <c r="I15" s="47" t="str">
        <f>I6</f>
        <v>gCO2e/g of paper</v>
      </c>
      <c r="L15" s="52"/>
    </row>
    <row r="16" spans="3:15">
      <c r="G16" s="45" t="s">
        <v>35</v>
      </c>
      <c r="H16" s="46">
        <f>H7+H9+H11</f>
        <v>2635757.3933351999</v>
      </c>
      <c r="I16" s="46">
        <f>I7+I9+I11</f>
        <v>2.5768304349487914</v>
      </c>
      <c r="K16" s="48">
        <f>H16/H12</f>
        <v>0.99986264658955615</v>
      </c>
    </row>
    <row r="17" spans="3:11">
      <c r="G17" s="45" t="s">
        <v>36</v>
      </c>
      <c r="H17" s="46">
        <f>H8+H10</f>
        <v>362.08</v>
      </c>
      <c r="I17" s="46">
        <f>I8+I10</f>
        <v>3.5398506943222399E-4</v>
      </c>
      <c r="K17" s="48">
        <f>H17/H12</f>
        <v>1.3735341044383655E-4</v>
      </c>
    </row>
    <row r="19" spans="3:11">
      <c r="C19" s="20" t="s">
        <v>37</v>
      </c>
    </row>
  </sheetData>
  <mergeCells count="6">
    <mergeCell ref="K5:O5"/>
    <mergeCell ref="K9:N9"/>
    <mergeCell ref="K12:O12"/>
    <mergeCell ref="C7:C8"/>
    <mergeCell ref="C5:H5"/>
    <mergeCell ref="C12:G1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3" name="Scroll Bar 15">
              <controlPr defaultSize="0" autoPict="0">
                <anchor moveWithCells="1">
                  <from>
                    <xdr:col>4</xdr:col>
                    <xdr:colOff>693420</xdr:colOff>
                    <xdr:row>1</xdr:row>
                    <xdr:rowOff>30480</xdr:rowOff>
                  </from>
                  <to>
                    <xdr:col>8</xdr:col>
                    <xdr:colOff>403860</xdr:colOff>
                    <xdr:row>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1DE175-5164-4C4A-A209-A5A1C58049BE}">
          <x14:formula1>
            <xm:f>Parameters!$A$2:$A$5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D99B-65A9-4905-84F3-0AD12B6D5C9C}">
  <dimension ref="A1:F39"/>
  <sheetViews>
    <sheetView topLeftCell="A7" workbookViewId="0">
      <selection activeCell="D24" sqref="D24"/>
    </sheetView>
  </sheetViews>
  <sheetFormatPr baseColWidth="10" defaultColWidth="8.88671875" defaultRowHeight="14.4"/>
  <cols>
    <col min="1" max="1" width="30.88671875" customWidth="1"/>
    <col min="2" max="2" width="12" bestFit="1" customWidth="1"/>
    <col min="12" max="12" width="27.6640625" customWidth="1"/>
    <col min="14" max="14" width="11" customWidth="1"/>
    <col min="16" max="16" width="11.33203125" customWidth="1"/>
  </cols>
  <sheetData>
    <row r="1" spans="1:6">
      <c r="A1" s="26" t="s">
        <v>38</v>
      </c>
    </row>
    <row r="2" spans="1:6">
      <c r="A2" s="15" t="s">
        <v>39</v>
      </c>
    </row>
    <row r="3" spans="1:6">
      <c r="A3" s="28" t="s">
        <v>40</v>
      </c>
    </row>
    <row r="4" spans="1:6">
      <c r="A4" s="15" t="s">
        <v>41</v>
      </c>
    </row>
    <row r="5" spans="1:6">
      <c r="A5" s="15"/>
    </row>
    <row r="6" spans="1:6">
      <c r="A6" t="s">
        <v>42</v>
      </c>
    </row>
    <row r="7" spans="1:6">
      <c r="A7" s="16" t="s">
        <v>43</v>
      </c>
    </row>
    <row r="8" spans="1:6">
      <c r="A8" t="s">
        <v>44</v>
      </c>
    </row>
    <row r="11" spans="1:6">
      <c r="A11" s="41" t="s">
        <v>45</v>
      </c>
      <c r="B11" s="27" t="s">
        <v>46</v>
      </c>
      <c r="C11" s="42" t="s">
        <v>10</v>
      </c>
    </row>
    <row r="12" spans="1:6">
      <c r="A12" s="31" t="s">
        <v>47</v>
      </c>
      <c r="B12" s="30">
        <v>1</v>
      </c>
      <c r="C12" s="32" t="s">
        <v>48</v>
      </c>
      <c r="E12" s="30" t="s">
        <v>49</v>
      </c>
    </row>
    <row r="13" spans="1:6">
      <c r="A13" s="33" t="s">
        <v>50</v>
      </c>
      <c r="B13" s="30">
        <v>1</v>
      </c>
      <c r="C13" s="34" t="s">
        <v>51</v>
      </c>
      <c r="E13" s="2" t="s">
        <v>52</v>
      </c>
    </row>
    <row r="14" spans="1:6">
      <c r="A14" s="33" t="s">
        <v>53</v>
      </c>
      <c r="B14" s="2">
        <f>B13*B12</f>
        <v>1</v>
      </c>
      <c r="C14" s="34" t="s">
        <v>53</v>
      </c>
      <c r="E14" s="29" t="s">
        <v>54</v>
      </c>
      <c r="F14" s="26"/>
    </row>
    <row r="15" spans="1:6">
      <c r="A15" s="35" t="s">
        <v>55</v>
      </c>
      <c r="B15" s="38">
        <v>10.5</v>
      </c>
      <c r="C15" s="36" t="s">
        <v>56</v>
      </c>
    </row>
    <row r="17" spans="1:3">
      <c r="A17" s="39" t="s">
        <v>57</v>
      </c>
      <c r="B17" s="29">
        <f>B15*B14</f>
        <v>10.5</v>
      </c>
      <c r="C17" s="40" t="s">
        <v>58</v>
      </c>
    </row>
    <row r="19" spans="1:3">
      <c r="A19" s="31" t="s">
        <v>59</v>
      </c>
      <c r="B19" s="30">
        <v>10</v>
      </c>
      <c r="C19" s="32" t="s">
        <v>60</v>
      </c>
    </row>
    <row r="20" spans="1:3">
      <c r="A20" s="33" t="s">
        <v>61</v>
      </c>
      <c r="B20" s="37">
        <f>B19*B12</f>
        <v>10</v>
      </c>
      <c r="C20" s="34" t="s">
        <v>62</v>
      </c>
    </row>
    <row r="21" spans="1:3">
      <c r="A21" s="35" t="s">
        <v>63</v>
      </c>
      <c r="B21" s="2">
        <v>1</v>
      </c>
      <c r="C21" s="36" t="s">
        <v>64</v>
      </c>
    </row>
    <row r="23" spans="1:3">
      <c r="A23" s="39" t="s">
        <v>65</v>
      </c>
      <c r="B23" s="29">
        <f>B20*B21</f>
        <v>10</v>
      </c>
      <c r="C23" s="40" t="s">
        <v>58</v>
      </c>
    </row>
    <row r="25" spans="1:3">
      <c r="A25" s="39" t="s">
        <v>66</v>
      </c>
      <c r="B25" s="29">
        <f>B23+B17</f>
        <v>20.5</v>
      </c>
      <c r="C25" s="40" t="s">
        <v>58</v>
      </c>
    </row>
    <row r="31" spans="1:3">
      <c r="A31" s="2" t="s">
        <v>67</v>
      </c>
      <c r="B31" s="2" t="s">
        <v>68</v>
      </c>
      <c r="C31" s="2"/>
    </row>
    <row r="32" spans="1:3">
      <c r="A32" s="2" t="s">
        <v>69</v>
      </c>
      <c r="B32" s="2">
        <f>VLOOKUP(B31,'Parameters 2'!$A$2:$C$107,3,FALSE)</f>
        <v>0.505</v>
      </c>
      <c r="C32" s="2" t="s">
        <v>70</v>
      </c>
    </row>
    <row r="33" spans="1:3">
      <c r="A33" s="2"/>
      <c r="B33" s="2"/>
      <c r="C33" s="2"/>
    </row>
    <row r="34" spans="1:3">
      <c r="A34" s="29" t="s">
        <v>71</v>
      </c>
      <c r="B34" s="29">
        <f>B32*B17/1000</f>
        <v>5.3024999999999999E-3</v>
      </c>
      <c r="C34" s="2"/>
    </row>
    <row r="36" spans="1:3">
      <c r="A36" t="s">
        <v>72</v>
      </c>
      <c r="B36" s="2" t="s">
        <v>68</v>
      </c>
      <c r="C36" s="2"/>
    </row>
    <row r="37" spans="1:3">
      <c r="A37" s="2" t="s">
        <v>69</v>
      </c>
      <c r="B37" s="2">
        <f>VLOOKUP(B36,'Parameters 2'!$A$2:$C$107,3,FALSE)</f>
        <v>0.505</v>
      </c>
      <c r="C37" s="2" t="s">
        <v>70</v>
      </c>
    </row>
    <row r="38" spans="1:3">
      <c r="B38" s="2"/>
      <c r="C38" s="2"/>
    </row>
    <row r="39" spans="1:3">
      <c r="A39" s="29" t="s">
        <v>73</v>
      </c>
      <c r="B39" s="29">
        <f>B37*B23/1000</f>
        <v>5.0499999999999998E-3</v>
      </c>
      <c r="C39" s="2"/>
    </row>
  </sheetData>
  <hyperlinks>
    <hyperlink ref="A7" r:id="rId1" location="storage" tooltip="https://www.cloudcarbonfootprint.org/docs/methodology#storage" display="https://www.cloudcarbonfootprint.org/docs/methodology - storage" xr:uid="{919D6CFC-0777-42A5-8524-6165FDEFDE1E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574379-4884-4CFB-AE97-61828E425BFB}">
          <x14:formula1>
            <xm:f>'Parameters 2'!$A$2:$A$107</xm:f>
          </x14:formula1>
          <xm:sqref>B31 B36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D212-D457-4D00-880E-E8F4BCA45749}">
  <dimension ref="A2:F31"/>
  <sheetViews>
    <sheetView workbookViewId="0">
      <selection activeCell="C31" sqref="C31"/>
    </sheetView>
  </sheetViews>
  <sheetFormatPr baseColWidth="10" defaultColWidth="11.44140625" defaultRowHeight="14.4"/>
  <cols>
    <col min="1" max="1" width="39.6640625" customWidth="1"/>
    <col min="2" max="2" width="7.44140625" customWidth="1"/>
    <col min="3" max="3" width="18.33203125" bestFit="1" customWidth="1"/>
    <col min="4" max="4" width="12.5546875" bestFit="1" customWidth="1"/>
    <col min="5" max="5" width="17.33203125" bestFit="1" customWidth="1"/>
  </cols>
  <sheetData>
    <row r="2" spans="1:6">
      <c r="A2" t="s">
        <v>74</v>
      </c>
    </row>
    <row r="3" spans="1:6">
      <c r="A3" s="16" t="s">
        <v>75</v>
      </c>
    </row>
    <row r="5" spans="1:6">
      <c r="A5" t="s">
        <v>76</v>
      </c>
    </row>
    <row r="6" spans="1:6">
      <c r="A6" s="16" t="s">
        <v>77</v>
      </c>
    </row>
    <row r="7" spans="1:6">
      <c r="A7" s="16"/>
    </row>
    <row r="8" spans="1:6">
      <c r="A8" s="16" t="s">
        <v>78</v>
      </c>
    </row>
    <row r="9" spans="1:6">
      <c r="A9" s="16" t="s">
        <v>79</v>
      </c>
    </row>
    <row r="11" spans="1:6" ht="18">
      <c r="A11" s="50" t="s">
        <v>80</v>
      </c>
    </row>
    <row r="12" spans="1:6">
      <c r="B12" t="s">
        <v>10</v>
      </c>
      <c r="C12" t="s">
        <v>81</v>
      </c>
      <c r="E12" t="s">
        <v>82</v>
      </c>
    </row>
    <row r="13" spans="1:6">
      <c r="A13" s="45" t="s">
        <v>83</v>
      </c>
      <c r="B13" s="2"/>
      <c r="C13" s="2">
        <v>6.9000000000000006E-2</v>
      </c>
      <c r="D13" s="2" t="s">
        <v>70</v>
      </c>
      <c r="E13" s="2">
        <v>1.083</v>
      </c>
      <c r="F13" s="2" t="s">
        <v>70</v>
      </c>
    </row>
    <row r="14" spans="1:6">
      <c r="A14" s="45">
        <v>300</v>
      </c>
      <c r="B14" s="2" t="s">
        <v>84</v>
      </c>
      <c r="C14" s="2">
        <f>A14/1000*C13</f>
        <v>2.07E-2</v>
      </c>
      <c r="D14" s="2" t="s">
        <v>85</v>
      </c>
      <c r="E14" s="2">
        <f>A14/1000*E13</f>
        <v>0.32489999999999997</v>
      </c>
      <c r="F14" s="2" t="s">
        <v>85</v>
      </c>
    </row>
    <row r="15" spans="1:6">
      <c r="A15" s="45"/>
      <c r="B15" s="2"/>
      <c r="C15" s="51">
        <f>C14*1000</f>
        <v>20.7</v>
      </c>
      <c r="D15" s="51" t="s">
        <v>86</v>
      </c>
      <c r="E15" s="51">
        <f>E14*1000</f>
        <v>324.89999999999998</v>
      </c>
      <c r="F15" s="51" t="s">
        <v>86</v>
      </c>
    </row>
    <row r="16" spans="1:6">
      <c r="A16" s="45" t="s">
        <v>87</v>
      </c>
      <c r="B16" s="2"/>
      <c r="C16" s="2"/>
      <c r="D16" s="2"/>
      <c r="E16" s="2"/>
      <c r="F16" s="2"/>
    </row>
    <row r="17" spans="1:6">
      <c r="A17" s="45">
        <v>3</v>
      </c>
      <c r="B17" s="2" t="s">
        <v>84</v>
      </c>
      <c r="C17" s="2">
        <f>A17/1000*C13</f>
        <v>2.0700000000000002E-4</v>
      </c>
      <c r="D17" s="2" t="s">
        <v>85</v>
      </c>
      <c r="E17" s="2">
        <f>A17/1000*E13</f>
        <v>3.2490000000000002E-3</v>
      </c>
      <c r="F17" s="2" t="s">
        <v>85</v>
      </c>
    </row>
    <row r="18" spans="1:6">
      <c r="A18" s="45"/>
      <c r="B18" s="2"/>
      <c r="C18" s="51">
        <f>C17*1000</f>
        <v>0.20700000000000002</v>
      </c>
      <c r="D18" s="51" t="s">
        <v>86</v>
      </c>
      <c r="E18" s="51">
        <f>E17*1000</f>
        <v>3.2490000000000001</v>
      </c>
      <c r="F18" s="51" t="s">
        <v>86</v>
      </c>
    </row>
    <row r="19" spans="1:6">
      <c r="A19" s="5"/>
    </row>
    <row r="20" spans="1:6">
      <c r="A20" s="45" t="s">
        <v>88</v>
      </c>
      <c r="B20" s="2"/>
      <c r="C20" s="2"/>
      <c r="D20" s="2"/>
    </row>
    <row r="21" spans="1:6">
      <c r="A21" s="45"/>
      <c r="B21" s="2"/>
      <c r="C21" s="2">
        <v>1.25</v>
      </c>
      <c r="D21" s="2" t="s">
        <v>89</v>
      </c>
    </row>
    <row r="22" spans="1:6">
      <c r="A22" s="45">
        <v>3940</v>
      </c>
      <c r="B22" s="2" t="s">
        <v>90</v>
      </c>
      <c r="C22" s="51">
        <f>A22*C21</f>
        <v>4925</v>
      </c>
      <c r="D22" s="51" t="s">
        <v>91</v>
      </c>
    </row>
    <row r="23" spans="1:6">
      <c r="A23" s="5"/>
    </row>
    <row r="24" spans="1:6">
      <c r="A24" s="5" t="s">
        <v>92</v>
      </c>
    </row>
    <row r="25" spans="1:6">
      <c r="A25" s="5"/>
      <c r="C25">
        <v>5500</v>
      </c>
      <c r="D25" t="s">
        <v>93</v>
      </c>
    </row>
    <row r="26" spans="1:6">
      <c r="A26" s="5"/>
      <c r="C26">
        <f>C25*1000000</f>
        <v>5500000000</v>
      </c>
      <c r="D26" t="s">
        <v>94</v>
      </c>
    </row>
    <row r="27" spans="1:6">
      <c r="A27" s="5"/>
    </row>
    <row r="28" spans="1:6">
      <c r="A28" s="5" t="s">
        <v>95</v>
      </c>
      <c r="C28" t="s">
        <v>96</v>
      </c>
      <c r="E28" t="s">
        <v>97</v>
      </c>
    </row>
    <row r="29" spans="1:6">
      <c r="A29" s="5"/>
      <c r="C29" s="49">
        <f>C22/C14</f>
        <v>237922.70531400965</v>
      </c>
      <c r="D29" s="49"/>
      <c r="E29" s="49">
        <f>C22/E14</f>
        <v>15158.510310864884</v>
      </c>
    </row>
    <row r="30" spans="1:6">
      <c r="A30" s="5"/>
    </row>
    <row r="31" spans="1:6">
      <c r="A31" t="s">
        <v>98</v>
      </c>
      <c r="C31" s="49">
        <f>C26*1000/C22</f>
        <v>1116751269.035533</v>
      </c>
    </row>
  </sheetData>
  <hyperlinks>
    <hyperlink ref="A3" r:id="rId1" display="https://app.powerbi.com/groups/me/reports/1c951402-6fe8-4466-87a2-1e1924002924/ReportSection8c838725056c87b1e4a2?ctid=4d9dd1af-83ce-4e9b-b090-b0543ccc2b31&amp;experience=power-bi" xr:uid="{2FA3ADEA-D6B1-45AE-98F9-75EA0A055034}"/>
    <hyperlink ref="A6" r:id="rId2" xr:uid="{BD2010C1-3E53-4E07-9FCE-3409C94F9A9F}"/>
    <hyperlink ref="A8" r:id="rId3" xr:uid="{3E294E3A-4C54-46C6-B673-A60F9BD54EB5}"/>
    <hyperlink ref="A9" r:id="rId4" xr:uid="{9E3EF8BF-402A-4212-9C1E-7616791FFAC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0B03-049F-4014-B5C0-52C37A1E2142}">
  <sheetPr>
    <tabColor theme="5" tint="-0.249977111117893"/>
  </sheetPr>
  <dimension ref="A1:D53"/>
  <sheetViews>
    <sheetView showGridLines="0" zoomScale="110" zoomScaleNormal="110" workbookViewId="0">
      <selection activeCell="A2" sqref="A2"/>
    </sheetView>
  </sheetViews>
  <sheetFormatPr baseColWidth="10" defaultColWidth="11.44140625" defaultRowHeight="14.4"/>
  <cols>
    <col min="1" max="1" width="25.5546875" customWidth="1"/>
    <col min="2" max="2" width="19" customWidth="1"/>
    <col min="3" max="3" width="29.5546875" customWidth="1"/>
    <col min="4" max="4" width="104.44140625" customWidth="1"/>
  </cols>
  <sheetData>
    <row r="1" spans="1:4">
      <c r="A1" s="1" t="s">
        <v>99</v>
      </c>
      <c r="B1" s="1" t="s">
        <v>100</v>
      </c>
      <c r="C1" s="1" t="s">
        <v>101</v>
      </c>
      <c r="D1" s="1" t="s">
        <v>102</v>
      </c>
    </row>
    <row r="2" spans="1:4">
      <c r="A2" s="2" t="s">
        <v>4</v>
      </c>
      <c r="B2" s="2">
        <v>20</v>
      </c>
      <c r="C2" s="2">
        <f>0.23/100*1000</f>
        <v>2.2999999999999998</v>
      </c>
      <c r="D2" s="2" t="s">
        <v>103</v>
      </c>
    </row>
    <row r="3" spans="1:4">
      <c r="A3" s="2" t="s">
        <v>104</v>
      </c>
      <c r="B3" s="2">
        <v>40</v>
      </c>
      <c r="C3" s="2">
        <f>C2+0.2*1000/100</f>
        <v>4.3</v>
      </c>
      <c r="D3" s="2" t="s">
        <v>105</v>
      </c>
    </row>
    <row r="4" spans="1:4">
      <c r="A4" s="2" t="s">
        <v>106</v>
      </c>
      <c r="B4" s="2">
        <v>150</v>
      </c>
      <c r="C4" s="2">
        <f>C2+0.2*1000/100*2</f>
        <v>6.3</v>
      </c>
      <c r="D4" s="2" t="s">
        <v>105</v>
      </c>
    </row>
    <row r="5" spans="1:4">
      <c r="A5" s="2" t="s">
        <v>107</v>
      </c>
      <c r="B5" s="2">
        <v>150</v>
      </c>
      <c r="C5" s="2">
        <f>C4</f>
        <v>6.3</v>
      </c>
      <c r="D5" s="2" t="s">
        <v>105</v>
      </c>
    </row>
    <row r="7" spans="1:4">
      <c r="A7" s="1" t="s">
        <v>108</v>
      </c>
      <c r="B7" s="1" t="s">
        <v>109</v>
      </c>
      <c r="C7" s="1" t="s">
        <v>110</v>
      </c>
      <c r="D7" s="1" t="s">
        <v>111</v>
      </c>
    </row>
    <row r="8" spans="1:4">
      <c r="A8" s="2" t="s">
        <v>112</v>
      </c>
      <c r="B8" s="2">
        <f>0.21*0.297</f>
        <v>6.2369999999999995E-2</v>
      </c>
      <c r="C8" s="2" t="s">
        <v>113</v>
      </c>
      <c r="D8" s="2" t="s">
        <v>114</v>
      </c>
    </row>
    <row r="9" spans="1:4">
      <c r="A9" s="2" t="s">
        <v>115</v>
      </c>
      <c r="B9" s="2">
        <f>'Paper vs Digital'!H1</f>
        <v>80</v>
      </c>
      <c r="C9" s="2" t="s">
        <v>2</v>
      </c>
      <c r="D9" s="2" t="s">
        <v>116</v>
      </c>
    </row>
    <row r="10" spans="1:4">
      <c r="A10" s="2" t="s">
        <v>117</v>
      </c>
      <c r="B10" s="2">
        <f>B8*B9</f>
        <v>4.9895999999999994</v>
      </c>
      <c r="C10" s="2" t="s">
        <v>32</v>
      </c>
      <c r="D10" s="2" t="s">
        <v>118</v>
      </c>
    </row>
    <row r="11" spans="1:4">
      <c r="A11" s="2" t="s">
        <v>119</v>
      </c>
      <c r="B11" s="2">
        <v>500</v>
      </c>
      <c r="C11" s="2" t="s">
        <v>120</v>
      </c>
      <c r="D11" s="2" t="s">
        <v>116</v>
      </c>
    </row>
    <row r="12" spans="1:4">
      <c r="A12" s="2" t="s">
        <v>121</v>
      </c>
      <c r="B12" s="2">
        <v>1024</v>
      </c>
      <c r="C12" s="2" t="s">
        <v>24</v>
      </c>
      <c r="D12" s="2" t="s">
        <v>122</v>
      </c>
    </row>
    <row r="14" spans="1:4">
      <c r="A14" s="2" t="s">
        <v>11</v>
      </c>
      <c r="B14" s="2" t="s">
        <v>109</v>
      </c>
      <c r="C14" s="2" t="s">
        <v>110</v>
      </c>
      <c r="D14" s="2" t="s">
        <v>123</v>
      </c>
    </row>
    <row r="15" spans="1:4">
      <c r="A15" s="2" t="s">
        <v>124</v>
      </c>
      <c r="B15" s="2">
        <f>2.29/80*B9</f>
        <v>2.29</v>
      </c>
      <c r="C15" s="2" t="s">
        <v>125</v>
      </c>
      <c r="D15" s="2" t="s">
        <v>126</v>
      </c>
    </row>
    <row r="16" spans="1:4">
      <c r="A16" s="2" t="s">
        <v>127</v>
      </c>
      <c r="B16" s="2">
        <f>B15/B11*1000</f>
        <v>4.58</v>
      </c>
      <c r="C16" s="2" t="s">
        <v>128</v>
      </c>
      <c r="D16" s="2" t="s">
        <v>129</v>
      </c>
    </row>
    <row r="17" spans="1:4">
      <c r="A17" s="2" t="s">
        <v>130</v>
      </c>
      <c r="B17" s="2">
        <v>130</v>
      </c>
      <c r="C17" s="2" t="s">
        <v>131</v>
      </c>
      <c r="D17" s="2" t="s">
        <v>126</v>
      </c>
    </row>
    <row r="18" spans="1:4">
      <c r="A18" s="2" t="s">
        <v>132</v>
      </c>
      <c r="B18" s="2">
        <v>737</v>
      </c>
      <c r="C18" s="2" t="s">
        <v>133</v>
      </c>
      <c r="D18" s="2" t="s">
        <v>126</v>
      </c>
    </row>
    <row r="19" spans="1:4">
      <c r="A19" s="2" t="s">
        <v>134</v>
      </c>
      <c r="B19" s="2">
        <v>20</v>
      </c>
      <c r="C19" s="2" t="s">
        <v>135</v>
      </c>
      <c r="D19" s="8" t="s">
        <v>136</v>
      </c>
    </row>
    <row r="20" spans="1:4">
      <c r="A20" s="2" t="s">
        <v>137</v>
      </c>
      <c r="B20" s="2">
        <f>AVERAGE(0.9,1.3)</f>
        <v>1.1000000000000001</v>
      </c>
      <c r="C20" s="2" t="s">
        <v>138</v>
      </c>
      <c r="D20" s="8" t="s">
        <v>136</v>
      </c>
    </row>
    <row r="21" spans="1:4">
      <c r="A21" s="2" t="s">
        <v>139</v>
      </c>
      <c r="B21" s="2">
        <v>4</v>
      </c>
      <c r="C21" s="2" t="s">
        <v>140</v>
      </c>
      <c r="D21" s="8" t="s">
        <v>141</v>
      </c>
    </row>
    <row r="22" spans="1:4">
      <c r="A22" s="2" t="s">
        <v>142</v>
      </c>
      <c r="B22" s="2">
        <v>35</v>
      </c>
      <c r="C22" s="2" t="s">
        <v>140</v>
      </c>
      <c r="D22" s="8" t="s">
        <v>141</v>
      </c>
    </row>
    <row r="23" spans="1:4">
      <c r="A23" s="2" t="s">
        <v>143</v>
      </c>
      <c r="B23" s="2">
        <f>B22-B21</f>
        <v>31</v>
      </c>
      <c r="C23" s="2" t="s">
        <v>144</v>
      </c>
      <c r="D23" s="12" t="s">
        <v>145</v>
      </c>
    </row>
    <row r="24" spans="1:4">
      <c r="A24" s="2" t="s">
        <v>146</v>
      </c>
      <c r="B24" s="2">
        <f>B23/B12</f>
        <v>3.02734375E-2</v>
      </c>
      <c r="C24" s="2" t="s">
        <v>147</v>
      </c>
      <c r="D24" s="2"/>
    </row>
    <row r="26" spans="1:4">
      <c r="A26" s="1" t="s">
        <v>148</v>
      </c>
      <c r="B26" s="1" t="s">
        <v>149</v>
      </c>
      <c r="C26" s="1" t="s">
        <v>150</v>
      </c>
      <c r="D26" s="2" t="s">
        <v>151</v>
      </c>
    </row>
    <row r="27" spans="1:4">
      <c r="A27" s="1">
        <f>ROUNDDOWN(20/$B$10,0)-1</f>
        <v>3</v>
      </c>
      <c r="B27" s="1">
        <v>0.85</v>
      </c>
      <c r="C27" s="2" t="s">
        <v>152</v>
      </c>
      <c r="D27" s="2"/>
    </row>
    <row r="28" spans="1:4">
      <c r="A28" s="1">
        <f>ROUNDDOWN(50/$B$10,0)-1</f>
        <v>9</v>
      </c>
      <c r="B28" s="1">
        <v>1</v>
      </c>
      <c r="C28" s="2" t="s">
        <v>153</v>
      </c>
      <c r="D28" s="2"/>
    </row>
    <row r="29" spans="1:4">
      <c r="A29" s="1">
        <f>ROUNDDOWN(500/$B$10,0)-1</f>
        <v>99</v>
      </c>
      <c r="B29" s="1">
        <v>1.6</v>
      </c>
      <c r="C29" s="2" t="s">
        <v>154</v>
      </c>
      <c r="D29" s="2"/>
    </row>
    <row r="30" spans="1:4">
      <c r="A30" s="1">
        <f>ROUNDDOWN(1000/$B$10,0)-1</f>
        <v>199</v>
      </c>
      <c r="B30" s="1">
        <v>2.75</v>
      </c>
      <c r="C30" s="2" t="s">
        <v>155</v>
      </c>
      <c r="D30" s="2"/>
    </row>
    <row r="31" spans="1:4">
      <c r="A31" s="2"/>
      <c r="B31" s="2"/>
      <c r="C31" s="2"/>
      <c r="D31" s="2"/>
    </row>
    <row r="33" spans="1:1">
      <c r="A33" s="19" t="s">
        <v>156</v>
      </c>
    </row>
    <row r="34" spans="1:1">
      <c r="A34" s="19" t="s">
        <v>157</v>
      </c>
    </row>
    <row r="35" spans="1:1">
      <c r="A35" s="19" t="s">
        <v>158</v>
      </c>
    </row>
    <row r="36" spans="1:1">
      <c r="A36" s="19" t="s">
        <v>159</v>
      </c>
    </row>
    <row r="37" spans="1:1">
      <c r="A37" s="19" t="s">
        <v>160</v>
      </c>
    </row>
    <row r="45" spans="1:1" ht="16.8">
      <c r="A45" s="13"/>
    </row>
    <row r="46" spans="1:1" ht="16.8">
      <c r="A46" s="13"/>
    </row>
    <row r="47" spans="1:1" ht="16.8">
      <c r="A47" s="13"/>
    </row>
    <row r="48" spans="1:1" ht="16.8">
      <c r="A48" s="13"/>
    </row>
    <row r="50" spans="1:1" ht="16.8">
      <c r="A50" s="13"/>
    </row>
    <row r="51" spans="1:1" ht="16.8">
      <c r="A51" s="13"/>
    </row>
    <row r="52" spans="1:1" ht="16.8">
      <c r="A52" s="13"/>
    </row>
    <row r="53" spans="1:1" ht="16.8">
      <c r="A53" s="13"/>
    </row>
  </sheetData>
  <sheetProtection algorithmName="SHA-512" hashValue="kRcN7z73LvCpGd4K66zYtFkR1Ap9qvMVdYcavHh7T6MF/I5gcmd0hWPhzwMOQFEfRCvbcgwwBThjXMbVgXtYTQ==" saltValue="F3qgA2F8gjhdZ7mHbNNlDw==" spinCount="100000" sheet="1" objects="1" scenarios="1"/>
  <hyperlinks>
    <hyperlink ref="D19" r:id="rId1" xr:uid="{B88464B8-C9F8-428E-B488-E9961ACBE764}"/>
    <hyperlink ref="D20" r:id="rId2" xr:uid="{832F5C10-A0B2-4747-9A92-59548624512C}"/>
    <hyperlink ref="D21" r:id="rId3" xr:uid="{567C7B54-937E-4950-99B0-4EEF96A9C195}"/>
    <hyperlink ref="D22" r:id="rId4" xr:uid="{3B1A2EB3-DB50-4941-B8F2-535D2E480276}"/>
  </hyperlinks>
  <pageMargins left="0.7" right="0.7" top="0.75" bottom="0.75" header="0.3" footer="0.3"/>
  <pageSetup paperSize="9" orientation="portrait" verticalDpi="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E30AD-FAE4-41A8-96AF-2DB0514D96D7}">
  <sheetPr>
    <tabColor theme="5"/>
  </sheetPr>
  <dimension ref="A1:C108"/>
  <sheetViews>
    <sheetView workbookViewId="0">
      <selection activeCell="B19" sqref="B19"/>
    </sheetView>
  </sheetViews>
  <sheetFormatPr baseColWidth="10" defaultColWidth="8.88671875" defaultRowHeight="14.4"/>
  <cols>
    <col min="1" max="1" width="46.5546875" bestFit="1" customWidth="1"/>
    <col min="2" max="2" width="30.88671875" bestFit="1" customWidth="1"/>
    <col min="3" max="3" width="39.5546875" bestFit="1" customWidth="1"/>
  </cols>
  <sheetData>
    <row r="1" spans="1:3">
      <c r="A1" s="21" t="s">
        <v>161</v>
      </c>
      <c r="B1" s="21" t="s">
        <v>162</v>
      </c>
      <c r="C1" s="22" t="s">
        <v>163</v>
      </c>
    </row>
    <row r="2" spans="1:3">
      <c r="A2" s="23" t="s">
        <v>164</v>
      </c>
      <c r="B2" s="23" t="s">
        <v>165</v>
      </c>
      <c r="C2" s="23">
        <v>0.55300000000000005</v>
      </c>
    </row>
    <row r="3" spans="1:3">
      <c r="A3" s="23" t="s">
        <v>166</v>
      </c>
      <c r="B3" s="23" t="s">
        <v>167</v>
      </c>
      <c r="C3" s="23">
        <v>1.0009999999999999</v>
      </c>
    </row>
    <row r="4" spans="1:3">
      <c r="A4" s="23" t="s">
        <v>168</v>
      </c>
      <c r="B4" s="23" t="s">
        <v>165</v>
      </c>
      <c r="C4" s="23">
        <v>0.20599999999999999</v>
      </c>
    </row>
    <row r="5" spans="1:3">
      <c r="A5" s="23" t="s">
        <v>169</v>
      </c>
      <c r="B5" s="23" t="s">
        <v>165</v>
      </c>
      <c r="C5" s="23">
        <v>0.57999999999999996</v>
      </c>
    </row>
    <row r="6" spans="1:3">
      <c r="A6" s="23" t="s">
        <v>170</v>
      </c>
      <c r="B6" s="23" t="s">
        <v>165</v>
      </c>
      <c r="C6" s="23">
        <v>0.5</v>
      </c>
    </row>
    <row r="7" spans="1:3">
      <c r="A7" s="23" t="s">
        <v>171</v>
      </c>
      <c r="B7" s="23" t="s">
        <v>165</v>
      </c>
      <c r="C7" s="23">
        <v>0.54700000000000004</v>
      </c>
    </row>
    <row r="8" spans="1:3">
      <c r="A8" s="23" t="s">
        <v>172</v>
      </c>
      <c r="B8" s="23" t="s">
        <v>165</v>
      </c>
      <c r="C8" s="23">
        <v>0.23400000000000001</v>
      </c>
    </row>
    <row r="9" spans="1:3">
      <c r="A9" s="23" t="s">
        <v>173</v>
      </c>
      <c r="B9" s="23" t="s">
        <v>174</v>
      </c>
      <c r="C9" s="23">
        <v>1.083</v>
      </c>
    </row>
    <row r="10" spans="1:3">
      <c r="A10" s="23" t="s">
        <v>175</v>
      </c>
      <c r="B10" s="23" t="s">
        <v>176</v>
      </c>
      <c r="C10" s="23">
        <v>1.0980000000000001</v>
      </c>
    </row>
    <row r="11" spans="1:3">
      <c r="A11" s="23" t="s">
        <v>177</v>
      </c>
      <c r="B11" s="23" t="s">
        <v>165</v>
      </c>
      <c r="C11" s="23">
        <v>0.99199999999999999</v>
      </c>
    </row>
    <row r="12" spans="1:3">
      <c r="A12" s="23" t="s">
        <v>178</v>
      </c>
      <c r="B12" s="23" t="s">
        <v>165</v>
      </c>
      <c r="C12" s="23">
        <v>0.124</v>
      </c>
    </row>
    <row r="13" spans="1:3">
      <c r="A13" s="23" t="s">
        <v>179</v>
      </c>
      <c r="B13" s="23" t="s">
        <v>165</v>
      </c>
      <c r="C13" s="23">
        <v>0.40699999999999997</v>
      </c>
    </row>
    <row r="14" spans="1:3">
      <c r="A14" s="23" t="s">
        <v>180</v>
      </c>
      <c r="B14" s="23" t="s">
        <v>165</v>
      </c>
      <c r="C14" s="23">
        <v>1E-3</v>
      </c>
    </row>
    <row r="15" spans="1:3">
      <c r="A15" s="23" t="s">
        <v>181</v>
      </c>
      <c r="B15" s="23" t="s">
        <v>174</v>
      </c>
      <c r="C15" s="23">
        <v>1.083</v>
      </c>
    </row>
    <row r="16" spans="1:3">
      <c r="A16" s="23" t="s">
        <v>182</v>
      </c>
      <c r="B16" s="23" t="s">
        <v>165</v>
      </c>
      <c r="C16" s="23">
        <v>3.2000000000000001E-2</v>
      </c>
    </row>
    <row r="17" spans="1:3">
      <c r="A17" s="23" t="s">
        <v>183</v>
      </c>
      <c r="B17" s="23" t="s">
        <v>174</v>
      </c>
      <c r="C17" s="23">
        <v>1.083</v>
      </c>
    </row>
    <row r="18" spans="1:3">
      <c r="A18" s="23" t="s">
        <v>184</v>
      </c>
      <c r="B18" s="23" t="s">
        <v>165</v>
      </c>
      <c r="C18" s="23">
        <v>0.36</v>
      </c>
    </row>
    <row r="19" spans="1:3">
      <c r="A19" s="23" t="s">
        <v>185</v>
      </c>
      <c r="B19" s="23" t="s">
        <v>165</v>
      </c>
      <c r="C19" s="23">
        <v>0.17799999999999999</v>
      </c>
    </row>
    <row r="20" spans="1:3">
      <c r="A20" s="23" t="s">
        <v>186</v>
      </c>
      <c r="B20" s="23" t="s">
        <v>165</v>
      </c>
      <c r="C20" s="23">
        <v>0.64100000000000001</v>
      </c>
    </row>
    <row r="21" spans="1:3">
      <c r="A21" s="23" t="s">
        <v>187</v>
      </c>
      <c r="B21" s="23" t="s">
        <v>165</v>
      </c>
      <c r="C21" s="23">
        <v>0.89600000000000002</v>
      </c>
    </row>
    <row r="22" spans="1:3">
      <c r="A22" s="23" t="s">
        <v>188</v>
      </c>
      <c r="B22" s="23" t="s">
        <v>165</v>
      </c>
      <c r="C22" s="23">
        <v>0.32400000000000001</v>
      </c>
    </row>
    <row r="23" spans="1:3">
      <c r="A23" s="23" t="s">
        <v>189</v>
      </c>
      <c r="B23" s="23" t="s">
        <v>165</v>
      </c>
      <c r="C23" s="23">
        <v>1E-3</v>
      </c>
    </row>
    <row r="24" spans="1:3">
      <c r="A24" s="23" t="s">
        <v>190</v>
      </c>
      <c r="B24" s="23" t="s">
        <v>165</v>
      </c>
      <c r="C24" s="23">
        <v>6.9000000000000006E-2</v>
      </c>
    </row>
    <row r="25" spans="1:3">
      <c r="A25" s="23" t="s">
        <v>191</v>
      </c>
      <c r="B25" s="23" t="s">
        <v>165</v>
      </c>
      <c r="C25" s="23">
        <v>8.8999999999999996E-2</v>
      </c>
    </row>
    <row r="26" spans="1:3">
      <c r="A26" s="23" t="s">
        <v>192</v>
      </c>
      <c r="B26" s="23" t="s">
        <v>174</v>
      </c>
      <c r="C26" s="23">
        <v>1.083</v>
      </c>
    </row>
    <row r="27" spans="1:3">
      <c r="A27" s="23" t="s">
        <v>193</v>
      </c>
      <c r="B27" s="23" t="s">
        <v>165</v>
      </c>
      <c r="C27" s="23">
        <v>0.70099999999999996</v>
      </c>
    </row>
    <row r="28" spans="1:3">
      <c r="A28" s="23" t="s">
        <v>194</v>
      </c>
      <c r="B28" s="23" t="s">
        <v>165</v>
      </c>
      <c r="C28" s="23">
        <v>0.42</v>
      </c>
    </row>
    <row r="29" spans="1:3">
      <c r="A29" s="23" t="s">
        <v>195</v>
      </c>
      <c r="B29" s="23" t="s">
        <v>165</v>
      </c>
      <c r="C29" s="23">
        <v>0.41499999999999998</v>
      </c>
    </row>
    <row r="30" spans="1:3">
      <c r="A30" s="23" t="s">
        <v>196</v>
      </c>
      <c r="B30" s="23" t="s">
        <v>165</v>
      </c>
      <c r="C30" s="23">
        <v>1.3240000000000001</v>
      </c>
    </row>
    <row r="31" spans="1:3">
      <c r="A31" s="23" t="s">
        <v>197</v>
      </c>
      <c r="B31" s="23" t="s">
        <v>165</v>
      </c>
      <c r="C31" s="23">
        <v>0.314</v>
      </c>
    </row>
    <row r="32" spans="1:3">
      <c r="A32" s="23" t="s">
        <v>198</v>
      </c>
      <c r="B32" s="23" t="s">
        <v>165</v>
      </c>
      <c r="C32" s="23">
        <v>0.93899999999999995</v>
      </c>
    </row>
    <row r="33" spans="1:3">
      <c r="A33" s="23" t="s">
        <v>199</v>
      </c>
      <c r="B33" s="23" t="s">
        <v>165</v>
      </c>
      <c r="C33" s="23">
        <v>1.0009999999999999</v>
      </c>
    </row>
    <row r="34" spans="1:3">
      <c r="A34" s="23" t="s">
        <v>200</v>
      </c>
      <c r="B34" s="23" t="s">
        <v>165</v>
      </c>
      <c r="C34" s="23">
        <v>1.609</v>
      </c>
    </row>
    <row r="35" spans="1:3">
      <c r="A35" s="23" t="s">
        <v>201</v>
      </c>
      <c r="B35" s="23" t="s">
        <v>202</v>
      </c>
      <c r="C35" s="23">
        <v>1.609</v>
      </c>
    </row>
    <row r="36" spans="1:3">
      <c r="A36" s="23" t="s">
        <v>203</v>
      </c>
      <c r="B36" s="23" t="s">
        <v>165</v>
      </c>
      <c r="C36" s="23">
        <v>0.38300000000000001</v>
      </c>
    </row>
    <row r="37" spans="1:3">
      <c r="A37" s="23" t="s">
        <v>204</v>
      </c>
      <c r="B37" s="23" t="s">
        <v>165</v>
      </c>
      <c r="C37" s="23">
        <v>0.48699999999999999</v>
      </c>
    </row>
    <row r="38" spans="1:3">
      <c r="A38" s="23" t="s">
        <v>205</v>
      </c>
      <c r="B38" s="23" t="s">
        <v>165</v>
      </c>
      <c r="C38" s="23">
        <v>0.59799999999999998</v>
      </c>
    </row>
    <row r="39" spans="1:3">
      <c r="A39" s="23" t="s">
        <v>206</v>
      </c>
      <c r="B39" s="23" t="s">
        <v>165</v>
      </c>
      <c r="C39" s="23">
        <v>0.19800000000000001</v>
      </c>
    </row>
    <row r="40" spans="1:3">
      <c r="A40" s="23" t="s">
        <v>207</v>
      </c>
      <c r="B40" s="23" t="s">
        <v>165</v>
      </c>
      <c r="C40" s="23">
        <v>5.8000000000000003E-2</v>
      </c>
    </row>
    <row r="41" spans="1:3">
      <c r="A41" s="23" t="s">
        <v>208</v>
      </c>
      <c r="B41" s="23" t="s">
        <v>209</v>
      </c>
      <c r="C41" s="23">
        <v>0.93899999999999995</v>
      </c>
    </row>
    <row r="42" spans="1:3">
      <c r="A42" s="23" t="s">
        <v>210</v>
      </c>
      <c r="B42" s="23" t="s">
        <v>165</v>
      </c>
      <c r="C42" s="23">
        <v>0.22</v>
      </c>
    </row>
    <row r="43" spans="1:3">
      <c r="A43" s="23" t="s">
        <v>211</v>
      </c>
      <c r="B43" s="23" t="s">
        <v>165</v>
      </c>
      <c r="C43" s="23">
        <v>0.68</v>
      </c>
    </row>
    <row r="44" spans="1:3">
      <c r="A44" s="23" t="s">
        <v>212</v>
      </c>
      <c r="B44" s="23" t="s">
        <v>165</v>
      </c>
      <c r="C44" s="23">
        <v>0.80300000000000005</v>
      </c>
    </row>
    <row r="45" spans="1:3">
      <c r="A45" s="23" t="s">
        <v>213</v>
      </c>
      <c r="B45" s="23" t="s">
        <v>165</v>
      </c>
      <c r="C45" s="23">
        <v>0.57799999999999996</v>
      </c>
    </row>
    <row r="46" spans="1:3">
      <c r="A46" s="23" t="s">
        <v>214</v>
      </c>
      <c r="B46" s="23" t="s">
        <v>174</v>
      </c>
      <c r="C46" s="23">
        <v>1.083</v>
      </c>
    </row>
    <row r="47" spans="1:3">
      <c r="A47" s="23" t="s">
        <v>215</v>
      </c>
      <c r="B47" s="23" t="s">
        <v>176</v>
      </c>
      <c r="C47" s="23">
        <v>1.0980000000000001</v>
      </c>
    </row>
    <row r="48" spans="1:3">
      <c r="A48" s="23" t="s">
        <v>216</v>
      </c>
      <c r="B48" s="23" t="s">
        <v>165</v>
      </c>
      <c r="C48" s="23">
        <v>0.113</v>
      </c>
    </row>
    <row r="49" spans="1:3">
      <c r="A49" s="23" t="s">
        <v>217</v>
      </c>
      <c r="B49" s="23" t="s">
        <v>165</v>
      </c>
      <c r="C49" s="23">
        <v>0.16900000000000001</v>
      </c>
    </row>
    <row r="50" spans="1:3">
      <c r="A50" s="23" t="s">
        <v>218</v>
      </c>
      <c r="B50" s="23" t="s">
        <v>165</v>
      </c>
      <c r="C50" s="23">
        <v>0.77500000000000002</v>
      </c>
    </row>
    <row r="51" spans="1:3">
      <c r="A51" s="23" t="s">
        <v>219</v>
      </c>
      <c r="B51" s="23" t="s">
        <v>176</v>
      </c>
      <c r="C51" s="23">
        <v>1.0980000000000001</v>
      </c>
    </row>
    <row r="52" spans="1:3">
      <c r="A52" s="23" t="s">
        <v>220</v>
      </c>
      <c r="B52" s="23" t="s">
        <v>174</v>
      </c>
      <c r="C52" s="23">
        <v>1.083</v>
      </c>
    </row>
    <row r="53" spans="1:3">
      <c r="A53" s="23" t="s">
        <v>221</v>
      </c>
      <c r="B53" s="23" t="s">
        <v>165</v>
      </c>
      <c r="C53" s="23">
        <v>0.40300000000000002</v>
      </c>
    </row>
    <row r="54" spans="1:3">
      <c r="A54" s="23" t="s">
        <v>222</v>
      </c>
      <c r="B54" s="23" t="s">
        <v>176</v>
      </c>
      <c r="C54" s="23">
        <v>1.0980000000000001</v>
      </c>
    </row>
    <row r="55" spans="1:3">
      <c r="A55" s="23" t="s">
        <v>223</v>
      </c>
      <c r="B55" s="23" t="s">
        <v>165</v>
      </c>
      <c r="C55" s="23">
        <v>0.58799999999999997</v>
      </c>
    </row>
    <row r="56" spans="1:3">
      <c r="A56" s="23" t="s">
        <v>224</v>
      </c>
      <c r="B56" s="23" t="s">
        <v>165</v>
      </c>
      <c r="C56" s="23">
        <v>0.81200000000000006</v>
      </c>
    </row>
    <row r="57" spans="1:3">
      <c r="A57" s="23" t="s">
        <v>225</v>
      </c>
      <c r="B57" s="23" t="s">
        <v>165</v>
      </c>
      <c r="C57" s="23">
        <v>7.6999999999999999E-2</v>
      </c>
    </row>
    <row r="58" spans="1:3">
      <c r="A58" s="23" t="s">
        <v>97</v>
      </c>
      <c r="B58" s="23" t="s">
        <v>165</v>
      </c>
      <c r="C58" s="23">
        <v>1.083</v>
      </c>
    </row>
    <row r="59" spans="1:3">
      <c r="A59" s="23" t="s">
        <v>226</v>
      </c>
      <c r="B59" s="23" t="s">
        <v>165</v>
      </c>
      <c r="C59" s="23">
        <v>0.47899999999999998</v>
      </c>
    </row>
    <row r="60" spans="1:3">
      <c r="A60" s="23" t="s">
        <v>227</v>
      </c>
      <c r="B60" s="23" t="s">
        <v>228</v>
      </c>
      <c r="C60" s="23">
        <v>0.86099999999999999</v>
      </c>
    </row>
    <row r="61" spans="1:3">
      <c r="A61" s="23" t="s">
        <v>229</v>
      </c>
      <c r="B61" s="23" t="s">
        <v>165</v>
      </c>
      <c r="C61" s="23">
        <v>0.19700000000000001</v>
      </c>
    </row>
    <row r="62" spans="1:3">
      <c r="A62" s="23" t="s">
        <v>230</v>
      </c>
      <c r="B62" s="23" t="s">
        <v>165</v>
      </c>
      <c r="C62" s="23">
        <v>0.222</v>
      </c>
    </row>
    <row r="63" spans="1:3">
      <c r="A63" s="23" t="s">
        <v>231</v>
      </c>
      <c r="B63" s="23" t="s">
        <v>209</v>
      </c>
      <c r="C63" s="23">
        <v>0.93899999999999995</v>
      </c>
    </row>
    <row r="64" spans="1:3">
      <c r="A64" s="23" t="s">
        <v>232</v>
      </c>
      <c r="B64" s="23" t="s">
        <v>165</v>
      </c>
      <c r="C64" s="23">
        <v>0.84599999999999997</v>
      </c>
    </row>
    <row r="65" spans="1:3">
      <c r="A65" s="23" t="s">
        <v>233</v>
      </c>
      <c r="B65" s="23" t="s">
        <v>165</v>
      </c>
      <c r="C65" s="23">
        <v>0.51200000000000001</v>
      </c>
    </row>
    <row r="66" spans="1:3">
      <c r="A66" s="23" t="s">
        <v>234</v>
      </c>
      <c r="B66" s="23" t="s">
        <v>165</v>
      </c>
      <c r="C66" s="23">
        <v>0.86099999999999999</v>
      </c>
    </row>
    <row r="67" spans="1:3">
      <c r="A67" s="23" t="s">
        <v>235</v>
      </c>
      <c r="B67" s="23" t="s">
        <v>202</v>
      </c>
      <c r="C67" s="23">
        <v>1.609</v>
      </c>
    </row>
    <row r="68" spans="1:3">
      <c r="A68" s="23" t="s">
        <v>236</v>
      </c>
      <c r="B68" s="23" t="s">
        <v>165</v>
      </c>
      <c r="C68" s="23">
        <v>0.81599999999999995</v>
      </c>
    </row>
    <row r="69" spans="1:3">
      <c r="A69" s="23" t="s">
        <v>237</v>
      </c>
      <c r="B69" s="23" t="s">
        <v>228</v>
      </c>
      <c r="C69" s="23">
        <v>0.86099999999999999</v>
      </c>
    </row>
    <row r="70" spans="1:3">
      <c r="A70" s="23" t="s">
        <v>238</v>
      </c>
      <c r="B70" s="23" t="s">
        <v>165</v>
      </c>
      <c r="C70" s="23">
        <v>0.40899999999999997</v>
      </c>
    </row>
    <row r="71" spans="1:3">
      <c r="A71" s="23" t="s">
        <v>239</v>
      </c>
      <c r="B71" s="23" t="s">
        <v>174</v>
      </c>
      <c r="C71" s="23">
        <v>1.083</v>
      </c>
    </row>
    <row r="72" spans="1:3">
      <c r="A72" s="23" t="s">
        <v>240</v>
      </c>
      <c r="B72" s="23" t="s">
        <v>165</v>
      </c>
      <c r="C72" s="23">
        <v>0.91800000000000004</v>
      </c>
    </row>
    <row r="73" spans="1:3">
      <c r="A73" s="23" t="s">
        <v>241</v>
      </c>
      <c r="B73" s="23" t="s">
        <v>176</v>
      </c>
      <c r="C73" s="23">
        <v>1.0980000000000001</v>
      </c>
    </row>
    <row r="74" spans="1:3">
      <c r="A74" s="23" t="s">
        <v>242</v>
      </c>
      <c r="B74" s="23" t="s">
        <v>165</v>
      </c>
      <c r="C74" s="23">
        <v>0.80200000000000005</v>
      </c>
    </row>
    <row r="75" spans="1:3">
      <c r="A75" s="23" t="s">
        <v>243</v>
      </c>
      <c r="B75" s="23" t="s">
        <v>165</v>
      </c>
      <c r="C75" s="23">
        <v>0.19</v>
      </c>
    </row>
    <row r="76" spans="1:3">
      <c r="A76" s="23" t="s">
        <v>244</v>
      </c>
      <c r="B76" s="23" t="s">
        <v>202</v>
      </c>
      <c r="C76" s="23">
        <v>1.609</v>
      </c>
    </row>
    <row r="77" spans="1:3">
      <c r="A77" s="23" t="s">
        <v>245</v>
      </c>
      <c r="B77" s="23" t="s">
        <v>176</v>
      </c>
      <c r="C77" s="23">
        <v>1.0980000000000001</v>
      </c>
    </row>
    <row r="78" spans="1:3">
      <c r="A78" s="23" t="s">
        <v>246</v>
      </c>
      <c r="B78" s="23" t="s">
        <v>174</v>
      </c>
      <c r="C78" s="23">
        <v>1.083</v>
      </c>
    </row>
    <row r="79" spans="1:3">
      <c r="A79" s="23" t="s">
        <v>247</v>
      </c>
      <c r="B79" s="23" t="s">
        <v>165</v>
      </c>
      <c r="C79" s="23">
        <v>0.59099999999999997</v>
      </c>
    </row>
    <row r="80" spans="1:3">
      <c r="A80" s="23" t="s">
        <v>248</v>
      </c>
      <c r="B80" s="23" t="s">
        <v>165</v>
      </c>
      <c r="C80" s="23">
        <v>7.0000000000000007E-2</v>
      </c>
    </row>
    <row r="81" spans="1:3">
      <c r="A81" s="23" t="s">
        <v>249</v>
      </c>
      <c r="B81" s="23" t="s">
        <v>165</v>
      </c>
      <c r="C81" s="23">
        <v>0.501</v>
      </c>
    </row>
    <row r="82" spans="1:3">
      <c r="A82" s="23" t="s">
        <v>250</v>
      </c>
      <c r="B82" s="23" t="s">
        <v>165</v>
      </c>
      <c r="C82" s="23">
        <v>0.58499999999999996</v>
      </c>
    </row>
    <row r="83" spans="1:3">
      <c r="A83" s="23" t="s">
        <v>251</v>
      </c>
      <c r="B83" s="23" t="s">
        <v>176</v>
      </c>
      <c r="C83" s="23">
        <v>1.0980000000000001</v>
      </c>
    </row>
    <row r="84" spans="1:3">
      <c r="A84" s="23" t="s">
        <v>252</v>
      </c>
      <c r="B84" s="23" t="s">
        <v>165</v>
      </c>
      <c r="C84" s="23">
        <v>0.495</v>
      </c>
    </row>
    <row r="85" spans="1:3">
      <c r="A85" s="23" t="s">
        <v>253</v>
      </c>
      <c r="B85" s="23" t="s">
        <v>254</v>
      </c>
      <c r="C85" s="23">
        <v>1.0980000000000001</v>
      </c>
    </row>
    <row r="86" spans="1:3">
      <c r="A86" s="23" t="s">
        <v>68</v>
      </c>
      <c r="B86" s="23" t="s">
        <v>165</v>
      </c>
      <c r="C86" s="23">
        <v>0.505</v>
      </c>
    </row>
    <row r="87" spans="1:3">
      <c r="A87" s="23" t="s">
        <v>255</v>
      </c>
      <c r="B87" s="23" t="s">
        <v>165</v>
      </c>
      <c r="C87" s="23">
        <v>0.505</v>
      </c>
    </row>
    <row r="88" spans="1:3">
      <c r="A88" s="23" t="s">
        <v>256</v>
      </c>
      <c r="B88" s="23" t="s">
        <v>257</v>
      </c>
      <c r="C88" s="23">
        <v>1.3240000000000001</v>
      </c>
    </row>
    <row r="89" spans="1:3">
      <c r="A89" s="23" t="s">
        <v>258</v>
      </c>
      <c r="B89" s="23" t="s">
        <v>209</v>
      </c>
      <c r="C89" s="23">
        <v>0.93899999999999995</v>
      </c>
    </row>
    <row r="90" spans="1:3">
      <c r="A90" s="23" t="s">
        <v>259</v>
      </c>
      <c r="B90" s="23" t="s">
        <v>165</v>
      </c>
      <c r="C90" s="23">
        <v>0.85899999999999999</v>
      </c>
    </row>
    <row r="91" spans="1:3">
      <c r="A91" s="23" t="s">
        <v>260</v>
      </c>
      <c r="B91" s="23" t="s">
        <v>165</v>
      </c>
      <c r="C91" s="23">
        <v>1.0980000000000001</v>
      </c>
    </row>
    <row r="92" spans="1:3">
      <c r="A92" s="23" t="s">
        <v>261</v>
      </c>
      <c r="B92" s="23" t="s">
        <v>165</v>
      </c>
      <c r="C92" s="23">
        <v>0.81</v>
      </c>
    </row>
    <row r="93" spans="1:3">
      <c r="A93" s="23" t="s">
        <v>262</v>
      </c>
      <c r="B93" s="23">
        <v>2019</v>
      </c>
      <c r="C93" s="23">
        <v>1.1874862999999999E-2</v>
      </c>
    </row>
    <row r="94" spans="1:3">
      <c r="A94" s="23" t="s">
        <v>263</v>
      </c>
      <c r="B94" s="23">
        <v>2019</v>
      </c>
      <c r="C94" s="23">
        <v>0.66301690700000004</v>
      </c>
    </row>
    <row r="95" spans="1:3">
      <c r="A95" s="23" t="s">
        <v>264</v>
      </c>
      <c r="B95" s="23">
        <v>2019</v>
      </c>
      <c r="C95" s="23">
        <v>0.34593853800000002</v>
      </c>
    </row>
    <row r="96" spans="1:3">
      <c r="A96" s="23" t="s">
        <v>265</v>
      </c>
      <c r="B96" s="23">
        <v>2019</v>
      </c>
      <c r="C96" s="23">
        <v>0.55351507600000005</v>
      </c>
    </row>
    <row r="97" spans="1:3">
      <c r="A97" s="23" t="s">
        <v>266</v>
      </c>
      <c r="B97" s="23">
        <v>2019</v>
      </c>
      <c r="C97" s="23">
        <v>0.942960358</v>
      </c>
    </row>
    <row r="98" spans="1:3">
      <c r="A98" s="23" t="s">
        <v>267</v>
      </c>
      <c r="B98" s="23">
        <v>2019</v>
      </c>
      <c r="C98" s="23">
        <v>0.130007233</v>
      </c>
    </row>
    <row r="99" spans="1:3">
      <c r="A99" s="23" t="s">
        <v>185</v>
      </c>
      <c r="B99" s="23">
        <v>2019</v>
      </c>
      <c r="C99" s="23">
        <v>0.172379059</v>
      </c>
    </row>
    <row r="100" spans="1:3">
      <c r="A100" s="23" t="s">
        <v>268</v>
      </c>
      <c r="B100" s="23">
        <v>2019</v>
      </c>
      <c r="C100" s="23">
        <v>0.43683834799999999</v>
      </c>
    </row>
    <row r="101" spans="1:3">
      <c r="A101" s="23" t="s">
        <v>269</v>
      </c>
      <c r="B101" s="23">
        <v>2019</v>
      </c>
      <c r="C101" s="23">
        <v>8.6296959000000006E-2</v>
      </c>
    </row>
    <row r="102" spans="1:3">
      <c r="A102" s="23" t="s">
        <v>270</v>
      </c>
      <c r="B102" s="23">
        <v>2019</v>
      </c>
      <c r="C102" s="23">
        <v>0.32299862699999998</v>
      </c>
    </row>
    <row r="103" spans="1:3">
      <c r="A103" s="23" t="s">
        <v>271</v>
      </c>
      <c r="B103" s="23">
        <v>2019</v>
      </c>
      <c r="C103" s="23">
        <v>0.20599999999999999</v>
      </c>
    </row>
    <row r="104" spans="1:3">
      <c r="A104" s="23" t="s">
        <v>272</v>
      </c>
      <c r="B104" s="23">
        <v>2019</v>
      </c>
      <c r="C104" s="23">
        <v>3.4326297999999998E-2</v>
      </c>
    </row>
    <row r="105" spans="1:3">
      <c r="A105" s="23" t="s">
        <v>273</v>
      </c>
      <c r="B105" s="23">
        <v>2019</v>
      </c>
      <c r="C105" s="23">
        <v>0.26439077799999999</v>
      </c>
    </row>
    <row r="106" spans="1:3">
      <c r="A106" s="23" t="s">
        <v>274</v>
      </c>
      <c r="B106" s="23">
        <v>2019</v>
      </c>
      <c r="C106" s="23">
        <v>9.0506324999999999E-2</v>
      </c>
    </row>
    <row r="107" spans="1:3" ht="15.6">
      <c r="A107" s="24" t="s">
        <v>275</v>
      </c>
      <c r="B107" s="24">
        <v>2022</v>
      </c>
      <c r="C107" s="23">
        <v>0.18</v>
      </c>
    </row>
    <row r="108" spans="1:3" ht="15.6">
      <c r="A108" s="24" t="s">
        <v>276</v>
      </c>
      <c r="B108" s="24"/>
      <c r="C108" s="25"/>
    </row>
  </sheetData>
  <sheetProtection algorithmName="SHA-512" hashValue="OAg1GR+aNZKkEGWiKfkmhH21nQJbko2keHUb/L87nNcczE5Tf2COqM0ca2kBPiR2kfc2iC1UIaHYI/eD47zAeg==" saltValue="oaiTnL+ZD32tuwDvNHQmH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057F4841C804A938B2B41FE862277" ma:contentTypeVersion="22" ma:contentTypeDescription="Create a new document." ma:contentTypeScope="" ma:versionID="6f5ed7ceb1e2e1fde8df962d1b87744f">
  <xsd:schema xmlns:xsd="http://www.w3.org/2001/XMLSchema" xmlns:xs="http://www.w3.org/2001/XMLSchema" xmlns:p="http://schemas.microsoft.com/office/2006/metadata/properties" xmlns:ns2="7fe32513-0a89-4245-8743-73ae4252805e" xmlns:ns3="dabf60c5-6c5a-4c11-be22-e66acbedf131" xmlns:ns4="20c1abfa-485b-41c9-a329-38772ca1fd48" targetNamespace="http://schemas.microsoft.com/office/2006/metadata/properties" ma:root="true" ma:fieldsID="24988e36de5cae89ffe73ef60450d97a" ns2:_="" ns3:_="" ns4:_="">
    <xsd:import namespace="7fe32513-0a89-4245-8743-73ae4252805e"/>
    <xsd:import namespace="dabf60c5-6c5a-4c11-be22-e66acbedf131"/>
    <xsd:import namespace="20c1abfa-485b-41c9-a329-38772ca1fd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32513-0a89-4245-8743-73ae425280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f60c5-6c5a-4c11-be22-e66acbedf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f8169e7-20d4-4f95-9450-953b2d8ea5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1abfa-485b-41c9-a329-38772ca1fd4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396599-22f4-4f39-a4a9-adfd0386017a}" ma:internalName="TaxCatchAll" ma:showField="CatchAllData" ma:web="7fe32513-0a89-4245-8743-73ae425280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bf60c5-6c5a-4c11-be22-e66acbedf131">
      <Terms xmlns="http://schemas.microsoft.com/office/infopath/2007/PartnerControls"/>
    </lcf76f155ced4ddcb4097134ff3c332f>
    <_Flow_SignoffStatus xmlns="dabf60c5-6c5a-4c11-be22-e66acbedf131" xsi:nil="true"/>
    <TaxCatchAll xmlns="20c1abfa-485b-41c9-a329-38772ca1fd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FDD837-18DF-4D1D-ACBF-2F6DD8C15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e32513-0a89-4245-8743-73ae4252805e"/>
    <ds:schemaRef ds:uri="dabf60c5-6c5a-4c11-be22-e66acbedf131"/>
    <ds:schemaRef ds:uri="20c1abfa-485b-41c9-a329-38772ca1fd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877815-07CB-4049-BEF2-4ADCF0E82CAC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7fe32513-0a89-4245-8743-73ae4252805e"/>
    <ds:schemaRef ds:uri="http://schemas.microsoft.com/office/infopath/2007/PartnerControls"/>
    <ds:schemaRef ds:uri="http://schemas.openxmlformats.org/package/2006/metadata/core-properties"/>
    <ds:schemaRef ds:uri="20c1abfa-485b-41c9-a329-38772ca1fd48"/>
    <ds:schemaRef ds:uri="dabf60c5-6c5a-4c11-be22-e66acbedf131"/>
  </ds:schemaRefs>
</ds:datastoreItem>
</file>

<file path=customXml/itemProps3.xml><?xml version="1.0" encoding="utf-8"?>
<ds:datastoreItem xmlns:ds="http://schemas.openxmlformats.org/officeDocument/2006/customXml" ds:itemID="{BBFA478E-1B51-4E9C-B863-3DD2D7E93D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Paper vs Digital</vt:lpstr>
      <vt:lpstr>Data Storage</vt:lpstr>
      <vt:lpstr>O365_IA</vt:lpstr>
      <vt:lpstr>Parameters</vt:lpstr>
      <vt:lpstr>Parameters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Paolo SEVEGNES</dc:creator>
  <cp:keywords/>
  <dc:description/>
  <cp:lastModifiedBy>Paolo Sévègnes</cp:lastModifiedBy>
  <cp:revision/>
  <dcterms:created xsi:type="dcterms:W3CDTF">2024-02-29T10:34:28Z</dcterms:created>
  <dcterms:modified xsi:type="dcterms:W3CDTF">2024-10-16T14:35:56Z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0x010100398057F4841C804A938B2B41FE862277</vt:lpwstr>
  </property>
</Properties>
</file>